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810" activeTab="1"/>
  </bookViews>
  <sheets>
    <sheet name="cdkt" sheetId="1" r:id="rId1"/>
    <sheet name="kqk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<sst xmlns="http://schemas.openxmlformats.org/spreadsheetml/2006/main" count="325" uniqueCount="188">
  <si>
    <t>CÔNG TY CỔ PHẦN ĐẦU TƯ VÀ VẬN TẢI DẦU KHÍ VINASHIN</t>
  </si>
  <si>
    <t>Địa chỉ: 204 Nam Kỳ Khởi Nghĩa, phường 6, quận 3, TP. Hồ Chí Minh</t>
  </si>
  <si>
    <t xml:space="preserve">BÁO CÁO TÀI CHÍNH </t>
  </si>
  <si>
    <t xml:space="preserve">BẢNG CÂN ĐỐI KẾ TOÁN </t>
  </si>
  <si>
    <t>Đơn vị tính: VND</t>
  </si>
  <si>
    <t>TÀI SẢN</t>
  </si>
  <si>
    <t xml:space="preserve">Mã 
số </t>
  </si>
  <si>
    <t>Số cuối năm</t>
  </si>
  <si>
    <t>Số đầu năm</t>
  </si>
  <si>
    <t>Số cuối kỳ</t>
  </si>
  <si>
    <t>Điều chỉnh</t>
  </si>
  <si>
    <t>+/-</t>
  </si>
  <si>
    <t>%</t>
  </si>
  <si>
    <t>A -</t>
  </si>
  <si>
    <t>TÀI SẢN NGẮN HẠN</t>
  </si>
  <si>
    <t>I.</t>
  </si>
  <si>
    <t>Tiền và các khoản tương đương tiền</t>
  </si>
  <si>
    <t>1.</t>
  </si>
  <si>
    <t xml:space="preserve">Tiền </t>
  </si>
  <si>
    <t>2.</t>
  </si>
  <si>
    <t>Các khoản tương đương tiền</t>
  </si>
  <si>
    <t>II.</t>
  </si>
  <si>
    <t>Các khoản đầu tư tài chính ngắn hạn</t>
  </si>
  <si>
    <t>Đầu tư ngắn hạn</t>
  </si>
  <si>
    <t>Dự phòng giảm giá đầu tư ngắn hạn</t>
  </si>
  <si>
    <t>III.</t>
  </si>
  <si>
    <t>Các khoản phải thu ngắn hạn</t>
  </si>
  <si>
    <t>Phải thu khách hàng</t>
  </si>
  <si>
    <t>Trả trước cho người bán</t>
  </si>
  <si>
    <t>3.</t>
  </si>
  <si>
    <t>Phải thu nội bộ ngắn hạn</t>
  </si>
  <si>
    <t>4.</t>
  </si>
  <si>
    <t>Phải thu theo tiến độ kế hoạch hợp đồng xây dựng</t>
  </si>
  <si>
    <t>5.</t>
  </si>
  <si>
    <t>Các khoản phải thu khác</t>
  </si>
  <si>
    <t>135</t>
  </si>
  <si>
    <t>6.</t>
  </si>
  <si>
    <t>Dự phòng phải thu ngắn hạn khó đòi</t>
  </si>
  <si>
    <t>IV.</t>
  </si>
  <si>
    <t>Hàng tồn kho</t>
  </si>
  <si>
    <t>Dự phòng giảm giá hàng tồn kho</t>
  </si>
  <si>
    <t>V.</t>
  </si>
  <si>
    <t>Tài sản ngắn hạn khác</t>
  </si>
  <si>
    <t>Chi phí trả trước ngắn hạn</t>
  </si>
  <si>
    <t>Thuế giá trị gia tăng được khấu trừ</t>
  </si>
  <si>
    <t>Thuế và các khoản khác phải thu Nhà nước</t>
  </si>
  <si>
    <t>154</t>
  </si>
  <si>
    <r>
      <t>Bảng cân đối kế toán</t>
    </r>
    <r>
      <rPr>
        <sz val="10"/>
        <rFont val="Times New Roman"/>
        <family val="1"/>
      </rPr>
      <t xml:space="preserve"> (tiếp theo)</t>
    </r>
  </si>
  <si>
    <t>B -</t>
  </si>
  <si>
    <t>TÀI SẢN DÀI HẠN</t>
  </si>
  <si>
    <t>Các khoản phải thu dài hạn</t>
  </si>
  <si>
    <t>Phải thu dài hạn của khách hàng</t>
  </si>
  <si>
    <t>Vốn kinh doanh ở các đơn vị trực thuộc</t>
  </si>
  <si>
    <t>Phải thu dài hạn nội bộ</t>
  </si>
  <si>
    <t>Phải thu dài hạn khác</t>
  </si>
  <si>
    <t>218</t>
  </si>
  <si>
    <t>Dự phòng phải thu dài hạn khó đòi</t>
  </si>
  <si>
    <t>Tài sản cố định</t>
  </si>
  <si>
    <t>220</t>
  </si>
  <si>
    <t>Tài sản cố định hữu hình</t>
  </si>
  <si>
    <t>Nguyên giá</t>
  </si>
  <si>
    <t>Giá trị hao mòn lũy kế</t>
  </si>
  <si>
    <t>Tài sản cố định thuê tài chính</t>
  </si>
  <si>
    <t>Tài sản cố định vô hình</t>
  </si>
  <si>
    <t>Chi phí xây dựng cơ bản dở dang</t>
  </si>
  <si>
    <t>Bất động sản đầu tư</t>
  </si>
  <si>
    <t>Các khoản đầu tư tài chính dài hạn</t>
  </si>
  <si>
    <t>Đầu tư vào công ty con</t>
  </si>
  <si>
    <t>Đầu tư vào công ty liên kết, liên doanh</t>
  </si>
  <si>
    <t>Đầu tư dài hạn khác</t>
  </si>
  <si>
    <t>Dự phòng giảm giá đầu tư tài chính dài hạn</t>
  </si>
  <si>
    <t>Tài sản dài hạn khác</t>
  </si>
  <si>
    <t>Chi phí trả trước dài hạn</t>
  </si>
  <si>
    <t>Tài sản thuế thu nhập hoãn lại</t>
  </si>
  <si>
    <t>TỔNG CỘNG TÀI SẢN</t>
  </si>
  <si>
    <t>NGUỒN VỐN</t>
  </si>
  <si>
    <t>NỢ PHẢI TRẢ</t>
  </si>
  <si>
    <t>Nợ ngắn hạn</t>
  </si>
  <si>
    <t>Vay và nợ ngắn hạn</t>
  </si>
  <si>
    <t>Phải trả người bán</t>
  </si>
  <si>
    <t>Người mua trả tiền trước</t>
  </si>
  <si>
    <t>Thuế và các khoản phải nộp Nhà nước</t>
  </si>
  <si>
    <t>Phải trả người lao động</t>
  </si>
  <si>
    <t>Chi phí phải trả</t>
  </si>
  <si>
    <t>7.</t>
  </si>
  <si>
    <t>Phải trả nội bộ</t>
  </si>
  <si>
    <t>8.</t>
  </si>
  <si>
    <t>Phải trả theo tiến độ kế hoạch hợp đồng xây dựng</t>
  </si>
  <si>
    <t>9.</t>
  </si>
  <si>
    <t>Các khoản phải trả, phải nộp ngắn hạn khác</t>
  </si>
  <si>
    <t>10.</t>
  </si>
  <si>
    <t>Dự phòng phải trả ngắn hạn</t>
  </si>
  <si>
    <t>320</t>
  </si>
  <si>
    <t>Nợ dài hạn</t>
  </si>
  <si>
    <t>330</t>
  </si>
  <si>
    <t>Phải trả dài hạn người bán</t>
  </si>
  <si>
    <t>331</t>
  </si>
  <si>
    <t>Phải trả dài hạn nội bộ</t>
  </si>
  <si>
    <t>332</t>
  </si>
  <si>
    <t>Phải trả dài hạn khác</t>
  </si>
  <si>
    <t>333</t>
  </si>
  <si>
    <t>Vay và nợ dài hạn</t>
  </si>
  <si>
    <t>334</t>
  </si>
  <si>
    <t>Thuế thu nhập hoãn lại phải trả</t>
  </si>
  <si>
    <t>335</t>
  </si>
  <si>
    <t>Dự phòng trợ cấp mất việc làm</t>
  </si>
  <si>
    <t>336</t>
  </si>
  <si>
    <t>Dự phòng phải trả dài hạn</t>
  </si>
  <si>
    <t>337</t>
  </si>
  <si>
    <t>NGUỒN VỐN CHỦ SỞ HỮU</t>
  </si>
  <si>
    <t>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</si>
  <si>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</si>
  <si>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</si>
  <si>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</si>
  <si>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</si>
  <si>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</si>
  <si>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</si>
  <si>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</si>
  <si>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</si>
  <si>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</si>
  <si>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</si>
  <si>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420</t>
  </si>
  <si>
    <t>11.</t>
  </si>
  <si>
    <t>Nguồn vốn đầu tư xây dựng cơ bản</t>
  </si>
  <si>
    <t>421</t>
  </si>
  <si>
    <t>Nguồn kinh phí và quỹ khác</t>
  </si>
  <si>
    <t>430</t>
  </si>
  <si>
    <t>Quỹ khen thưởng, phúc lợi</t>
  </si>
  <si>
    <t>431</t>
  </si>
  <si>
    <t>Nguồn kinh phí</t>
  </si>
  <si>
    <t>432</t>
  </si>
  <si>
    <t>Nguồn kinh phí đã hình thành tài sản cố định</t>
  </si>
  <si>
    <t>433</t>
  </si>
  <si>
    <t>TỔNG CỘNG NGUỒN VỐN</t>
  </si>
  <si>
    <t>440</t>
  </si>
  <si>
    <t>CÁC CHỈ TIÊU NGOÀI BẢNG CÂN ĐỐI KẾ TOÁN</t>
  </si>
  <si>
    <t>CHỈ TIÊU</t>
  </si>
  <si>
    <t>Tài sản thuê ngoài</t>
  </si>
  <si>
    <t>Vật tư, hàng hóa nhận giữ hộ, nhận gia công</t>
  </si>
  <si>
    <t>Hàng hóa nhận bán hộ, nhận ký gửi, ký cược</t>
  </si>
  <si>
    <t>Nợ khó đòi đã xử lý</t>
  </si>
  <si>
    <t>Ngoại tệ các loại (USD)</t>
  </si>
  <si>
    <t>Dự toán chi sự nghiệp, dự án</t>
  </si>
  <si>
    <t>______________</t>
  </si>
  <si>
    <t>Lê Ngọc Bích</t>
  </si>
  <si>
    <t>Kế toán trưởng</t>
  </si>
  <si>
    <t xml:space="preserve">BÁO CÁO KẾT QUẢ HOẠT ĐỘNG KINH DOANH </t>
  </si>
  <si>
    <t>Năm nay</t>
  </si>
  <si>
    <t>Doanh thu bán hàng và cung cấp dịch vụ</t>
  </si>
  <si>
    <t>01</t>
  </si>
  <si>
    <t>Các khoản giảm trừ doanh thu</t>
  </si>
  <si>
    <t>02</t>
  </si>
  <si>
    <t xml:space="preserve">Doanh thu thuần về bán hàng và cung cấp dịch vụ </t>
  </si>
  <si>
    <t>Giá vốn hàng bán</t>
  </si>
  <si>
    <t xml:space="preserve">Lợi nhuận gộp về bán hàng và cung cấp dịch vụ </t>
  </si>
  <si>
    <t xml:space="preserve"> </t>
  </si>
  <si>
    <t>Doanh thu hoạt động tài chính</t>
  </si>
  <si>
    <t>Chi phí tài chính</t>
  </si>
  <si>
    <t xml:space="preserve">Trong đó: chi phí lãi vay </t>
  </si>
  <si>
    <t>Chi phí bán hàng</t>
  </si>
  <si>
    <t>Chi phí quản lý doanh nghiệp</t>
  </si>
  <si>
    <t>Lợi nhuận thuần từ hoạt động kinh doanh</t>
  </si>
  <si>
    <t>Thu nhập khác</t>
  </si>
  <si>
    <t>12.</t>
  </si>
  <si>
    <t>Chi phí khác</t>
  </si>
  <si>
    <t>13.</t>
  </si>
  <si>
    <t>Lợi nhuận khác</t>
  </si>
  <si>
    <t>14.</t>
  </si>
  <si>
    <t>Tổng lợi nhuận kế toán trước thuế</t>
  </si>
  <si>
    <t>15.</t>
  </si>
  <si>
    <t>Chi phí thuế thu nhập doanh nghiệp hiện hành</t>
  </si>
  <si>
    <t>16.</t>
  </si>
  <si>
    <t>Chi phí thuế thu nhập doanh nghiệp hoãn lại</t>
  </si>
  <si>
    <t>17.</t>
  </si>
  <si>
    <t>Lợi nhuận sau thuế thu nhập doanh nghiệp</t>
  </si>
  <si>
    <t>18.</t>
  </si>
  <si>
    <t>Lãi cơ bản trên cổ phiếu</t>
  </si>
  <si>
    <t>TẬP ĐOÀN CÔNG NGHIỆP TÀU THỦY VIỆT NAM</t>
  </si>
  <si>
    <t>Cho  kỳ tài chính kết thúc ngày 31 tháng 03 năm 2007</t>
  </si>
  <si>
    <t>Tại ngày 31 tháng 03 năm 2007</t>
  </si>
  <si>
    <t>Quý 1 năm 2007</t>
  </si>
  <si>
    <t>Quý 1</t>
  </si>
  <si>
    <t>Cho kỳ tài chính kết thúc ngày 31 tháng 03 năm 2007</t>
  </si>
  <si>
    <t>Nguyễn Duy Hùng</t>
  </si>
  <si>
    <t>Tổng Giám Đốc</t>
  </si>
  <si>
    <t>TP. Hồ Chí Minh, ngày 20 tháng 03 năm 2007</t>
  </si>
  <si>
    <t>TP. Hồ Chí Minh, ngày 20 tháng 03 năm 2007</t>
  </si>
  <si>
    <t>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</si>
</sst>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-* #,##0_-;\-* #,##0_-;_-* &quot;-&quot;??_-;_-@_-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9" fontId="1" fillId="0" borderId="0" xfId="19" applyFont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9" fontId="3" fillId="0" borderId="0" xfId="19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Continuous"/>
    </xf>
    <xf numFmtId="41" fontId="4" fillId="0" borderId="0" xfId="0" applyNumberFormat="1" applyFont="1" applyAlignment="1">
      <alignment/>
    </xf>
    <xf numFmtId="9" fontId="4" fillId="0" borderId="0" xfId="19" applyFont="1" applyAlignment="1">
      <alignment/>
    </xf>
    <xf numFmtId="49" fontId="4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9" fontId="2" fillId="0" borderId="0" xfId="19" applyFont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41" fontId="2" fillId="0" borderId="2" xfId="0" applyNumberFormat="1" applyFont="1" applyBorder="1" applyAlignment="1">
      <alignment horizontal="right" wrapText="1"/>
    </xf>
    <xf numFmtId="41" fontId="2" fillId="0" borderId="2" xfId="0" applyNumberFormat="1" applyFont="1" applyBorder="1" applyAlignment="1" quotePrefix="1">
      <alignment horizontal="right" wrapText="1"/>
    </xf>
    <xf numFmtId="9" fontId="2" fillId="0" borderId="2" xfId="19" applyFont="1" applyBorder="1" applyAlignment="1">
      <alignment horizontal="right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9" fontId="5" fillId="0" borderId="0" xfId="19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Continuous"/>
    </xf>
    <xf numFmtId="41" fontId="6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9" fontId="7" fillId="0" borderId="0" xfId="19" applyFont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Border="1" applyAlignment="1" quotePrefix="1">
      <alignment horizontal="righ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/>
    </xf>
    <xf numFmtId="41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3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Fill="1" applyAlignment="1">
      <alignment horizontal="centerContinuous"/>
    </xf>
    <xf numFmtId="41" fontId="9" fillId="0" borderId="0" xfId="0" applyNumberFormat="1" applyFont="1" applyFill="1" applyAlignment="1">
      <alignment vertical="top"/>
    </xf>
    <xf numFmtId="41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centerContinuous" vertical="top"/>
    </xf>
    <xf numFmtId="41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centerContinuous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quotePrefix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center" vertical="top"/>
    </xf>
    <xf numFmtId="0" fontId="2" fillId="0" borderId="0" xfId="0" applyFont="1" applyBorder="1" applyAlignment="1">
      <alignment horizontal="center" vertical="top"/>
    </xf>
    <xf numFmtId="41" fontId="2" fillId="0" borderId="0" xfId="0" applyNumberFormat="1" applyFont="1" applyBorder="1" applyAlignment="1">
      <alignment vertical="top"/>
    </xf>
    <xf numFmtId="165" fontId="2" fillId="0" borderId="0" xfId="15" applyNumberFormat="1" applyFont="1" applyAlignment="1">
      <alignment vertical="top"/>
    </xf>
    <xf numFmtId="0" fontId="2" fillId="0" borderId="0" xfId="0" applyFont="1" applyAlignment="1">
      <alignment vertical="top"/>
    </xf>
    <xf numFmtId="43" fontId="2" fillId="0" borderId="0" xfId="15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1" fontId="1" fillId="0" borderId="0" xfId="0" applyNumberFormat="1" applyFont="1" applyBorder="1" applyAlignment="1">
      <alignment vertical="top"/>
    </xf>
    <xf numFmtId="165" fontId="1" fillId="0" borderId="0" xfId="15" applyNumberFormat="1" applyFont="1" applyAlignment="1">
      <alignment vertical="top"/>
    </xf>
    <xf numFmtId="0" fontId="1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41" fontId="2" fillId="0" borderId="2" xfId="0" applyNumberFormat="1" applyFont="1" applyBorder="1" applyAlignment="1">
      <alignment vertical="top"/>
    </xf>
    <xf numFmtId="41" fontId="2" fillId="0" borderId="5" xfId="0" applyNumberFormat="1" applyFont="1" applyBorder="1" applyAlignment="1">
      <alignment vertical="top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9" fontId="11" fillId="0" borderId="0" xfId="19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/>
    </xf>
    <xf numFmtId="41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5" fillId="0" borderId="0" xfId="0" applyFont="1" applyAlignment="1" quotePrefix="1">
      <alignment/>
    </xf>
    <xf numFmtId="0" fontId="1" fillId="0" borderId="0" xfId="0" applyFont="1" applyAlignment="1" quotePrefix="1">
      <alignment/>
    </xf>
    <xf numFmtId="49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2006%20viet%20Vinash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an doi ke toan"/>
      <sheetName val="KQKD"/>
      <sheetName val="KQKD thang-qui-cac thang cuoi"/>
      <sheetName val="LCTT-Truc tiep"/>
      <sheetName val="LCTT-Gian tiep"/>
      <sheetName val="TM LCTT"/>
      <sheetName val="but toan dieu chinh"/>
      <sheetName val="thuyet minh chi tiet"/>
      <sheetName val="thue tndn ban tau tinh 14%"/>
      <sheetName val="chi phiyeu to"/>
      <sheetName val="thue tndn 10%"/>
      <sheetName val="GTLCTT"/>
      <sheetName val="BTDC"/>
      <sheetName val="Chitieu"/>
      <sheetName val="CHON MAU"/>
    </sheetNames>
    <sheetDataSet>
      <sheetData sheetId="1">
        <row r="47">
          <cell r="J47">
            <v>-4337904832</v>
          </cell>
        </row>
      </sheetData>
      <sheetData sheetId="6">
        <row r="12">
          <cell r="E12">
            <v>33457596</v>
          </cell>
        </row>
        <row r="13">
          <cell r="F13">
            <v>33457596</v>
          </cell>
        </row>
        <row r="15">
          <cell r="E15">
            <v>89015162</v>
          </cell>
        </row>
        <row r="16">
          <cell r="F16">
            <v>89015162</v>
          </cell>
        </row>
        <row r="18">
          <cell r="E18">
            <v>189883148</v>
          </cell>
        </row>
        <row r="19">
          <cell r="F19">
            <v>189883148</v>
          </cell>
        </row>
        <row r="21">
          <cell r="E21">
            <v>3974798756</v>
          </cell>
        </row>
        <row r="22">
          <cell r="F22">
            <v>3974798756</v>
          </cell>
        </row>
        <row r="24">
          <cell r="E24">
            <v>124950244375</v>
          </cell>
        </row>
        <row r="25">
          <cell r="F25">
            <v>124950244375</v>
          </cell>
        </row>
        <row r="27">
          <cell r="E27">
            <v>3834296091</v>
          </cell>
        </row>
        <row r="28">
          <cell r="F28">
            <v>3834296091</v>
          </cell>
        </row>
        <row r="30">
          <cell r="E30">
            <v>-204415905</v>
          </cell>
        </row>
        <row r="31">
          <cell r="F31">
            <v>-204415905</v>
          </cell>
        </row>
        <row r="37">
          <cell r="E37">
            <v>1246774056</v>
          </cell>
        </row>
        <row r="38">
          <cell r="F38">
            <v>1246774056</v>
          </cell>
        </row>
        <row r="40">
          <cell r="E40">
            <v>152864500000</v>
          </cell>
          <cell r="F40">
            <v>152864500000</v>
          </cell>
        </row>
        <row r="42">
          <cell r="E42">
            <v>128465839794</v>
          </cell>
          <cell r="F42">
            <v>128465839794</v>
          </cell>
        </row>
        <row r="45">
          <cell r="E45">
            <v>2093455771</v>
          </cell>
          <cell r="F45">
            <v>2093455771</v>
          </cell>
        </row>
        <row r="47">
          <cell r="E47">
            <v>469042882</v>
          </cell>
          <cell r="F47">
            <v>469042882</v>
          </cell>
        </row>
        <row r="49">
          <cell r="E49">
            <v>2436926992</v>
          </cell>
          <cell r="F49">
            <v>2436926992</v>
          </cell>
        </row>
        <row r="83">
          <cell r="E83">
            <v>617252973</v>
          </cell>
          <cell r="F83">
            <v>617252973</v>
          </cell>
        </row>
        <row r="85">
          <cell r="E85">
            <v>5492434243</v>
          </cell>
          <cell r="F85">
            <v>5492434243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workbookViewId="0" topLeftCell="A137">
      <pane xSplit="4" topLeftCell="E1" activePane="topRight" state="frozen"/>
      <selection pane="topLeft" activeCell="A21" sqref="A21"/>
      <selection pane="topRight" activeCell="Q155" sqref="Q155"/>
    </sheetView>
  </sheetViews>
  <sheetFormatPr defaultColWidth="9.140625" defaultRowHeight="13.5" customHeight="1"/>
  <cols>
    <col min="1" max="1" width="3.7109375" style="2" customWidth="1"/>
    <col min="2" max="2" width="25.7109375" style="2" customWidth="1"/>
    <col min="3" max="3" width="15.7109375" style="2" customWidth="1"/>
    <col min="4" max="4" width="5.28125" style="2" customWidth="1"/>
    <col min="5" max="5" width="16.7109375" style="3" customWidth="1"/>
    <col min="6" max="6" width="2.7109375" style="3" customWidth="1"/>
    <col min="7" max="7" width="16.8515625" style="3" customWidth="1"/>
    <col min="8" max="8" width="15.57421875" style="3" hidden="1" customWidth="1"/>
    <col min="9" max="9" width="17.00390625" style="3" hidden="1" customWidth="1"/>
    <col min="10" max="10" width="15.140625" style="3" hidden="1" customWidth="1"/>
    <col min="11" max="11" width="9.140625" style="4" hidden="1" customWidth="1"/>
    <col min="12" max="12" width="0" style="35" hidden="1" customWidth="1"/>
    <col min="13" max="13" width="12.00390625" style="35" hidden="1" customWidth="1"/>
    <col min="14" max="14" width="0" style="35" hidden="1" customWidth="1"/>
    <col min="15" max="15" width="17.28125" style="35" hidden="1" customWidth="1"/>
    <col min="16" max="16" width="12.8515625" style="35" hidden="1" customWidth="1"/>
    <col min="17" max="16384" width="9.140625" style="35" customWidth="1"/>
  </cols>
  <sheetData>
    <row r="1" spans="1:11" s="31" customFormat="1" ht="13.5" customHeight="1">
      <c r="A1" s="8" t="s">
        <v>177</v>
      </c>
      <c r="B1" s="8"/>
      <c r="C1" s="8"/>
      <c r="D1" s="8"/>
      <c r="E1" s="17"/>
      <c r="F1" s="17"/>
      <c r="G1" s="17"/>
      <c r="H1" s="17"/>
      <c r="I1" s="17"/>
      <c r="J1" s="17"/>
      <c r="K1" s="18"/>
    </row>
    <row r="2" spans="1:11" s="99" customFormat="1" ht="15.75" customHeight="1">
      <c r="A2" s="98" t="s">
        <v>0</v>
      </c>
      <c r="B2" s="98"/>
      <c r="C2" s="98"/>
      <c r="D2" s="98"/>
      <c r="E2" s="98"/>
      <c r="H2" s="100"/>
      <c r="I2" s="100"/>
      <c r="J2" s="100"/>
      <c r="K2" s="101"/>
    </row>
    <row r="3" spans="1:11" s="2" customFormat="1" ht="13.5" customHeight="1">
      <c r="A3" s="1" t="s">
        <v>1</v>
      </c>
      <c r="B3" s="1"/>
      <c r="C3" s="1"/>
      <c r="D3" s="1"/>
      <c r="E3" s="1"/>
      <c r="H3" s="3"/>
      <c r="I3" s="3"/>
      <c r="J3" s="3"/>
      <c r="K3" s="4"/>
    </row>
    <row r="4" spans="1:11" s="2" customFormat="1" ht="13.5" customHeight="1">
      <c r="A4" s="1" t="s">
        <v>2</v>
      </c>
      <c r="B4" s="1"/>
      <c r="C4" s="1"/>
      <c r="D4" s="1"/>
      <c r="E4" s="1"/>
      <c r="H4" s="3"/>
      <c r="I4" s="3"/>
      <c r="J4" s="3"/>
      <c r="K4" s="4"/>
    </row>
    <row r="5" spans="1:11" s="2" customFormat="1" ht="13.5" customHeight="1" thickBot="1">
      <c r="A5" s="5" t="s">
        <v>178</v>
      </c>
      <c r="B5" s="5"/>
      <c r="C5" s="5"/>
      <c r="D5" s="5"/>
      <c r="E5" s="5"/>
      <c r="F5" s="6"/>
      <c r="G5" s="6"/>
      <c r="H5" s="7"/>
      <c r="I5" s="3"/>
      <c r="J5" s="3"/>
      <c r="K5" s="4"/>
    </row>
    <row r="6" spans="1:11" s="2" customFormat="1" ht="13.5" customHeight="1">
      <c r="A6" s="8"/>
      <c r="H6" s="3"/>
      <c r="I6" s="3"/>
      <c r="J6" s="3"/>
      <c r="K6" s="4"/>
    </row>
    <row r="7" spans="1:11" s="12" customFormat="1" ht="19.5" customHeight="1">
      <c r="A7" s="9" t="s">
        <v>3</v>
      </c>
      <c r="B7" s="9"/>
      <c r="C7" s="9"/>
      <c r="D7" s="9"/>
      <c r="E7" s="9"/>
      <c r="F7" s="9"/>
      <c r="G7" s="9"/>
      <c r="H7" s="10"/>
      <c r="I7" s="10"/>
      <c r="J7" s="10"/>
      <c r="K7" s="11"/>
    </row>
    <row r="8" spans="1:11" s="16" customFormat="1" ht="15.75" customHeight="1">
      <c r="A8" s="13" t="s">
        <v>179</v>
      </c>
      <c r="B8" s="13"/>
      <c r="C8" s="13"/>
      <c r="D8" s="13"/>
      <c r="E8" s="13"/>
      <c r="F8" s="13"/>
      <c r="G8" s="13"/>
      <c r="H8" s="14"/>
      <c r="I8" s="14"/>
      <c r="J8" s="14"/>
      <c r="K8" s="15"/>
    </row>
    <row r="9" spans="8:11" s="8" customFormat="1" ht="13.5" customHeight="1">
      <c r="H9" s="17"/>
      <c r="I9" s="17"/>
      <c r="J9" s="17"/>
      <c r="K9" s="18"/>
    </row>
    <row r="10" spans="7:11" s="2" customFormat="1" ht="13.5" customHeight="1">
      <c r="G10" s="19" t="s">
        <v>4</v>
      </c>
      <c r="H10" s="3"/>
      <c r="I10" s="3"/>
      <c r="J10" s="3"/>
      <c r="K10" s="4"/>
    </row>
    <row r="11" spans="1:11" s="2" customFormat="1" ht="27.75" customHeight="1">
      <c r="A11" s="20" t="s">
        <v>5</v>
      </c>
      <c r="B11" s="21"/>
      <c r="C11" s="21"/>
      <c r="D11" s="22" t="s">
        <v>6</v>
      </c>
      <c r="E11" s="23" t="s">
        <v>7</v>
      </c>
      <c r="F11" s="24"/>
      <c r="G11" s="23" t="s">
        <v>8</v>
      </c>
      <c r="H11" s="25" t="s">
        <v>9</v>
      </c>
      <c r="I11" s="25" t="s">
        <v>10</v>
      </c>
      <c r="J11" s="26" t="s">
        <v>11</v>
      </c>
      <c r="K11" s="27" t="s">
        <v>12</v>
      </c>
    </row>
    <row r="12" spans="1:11" s="31" customFormat="1" ht="13.5" customHeight="1">
      <c r="A12" s="28"/>
      <c r="B12" s="28"/>
      <c r="C12" s="28"/>
      <c r="D12" s="29"/>
      <c r="E12" s="30"/>
      <c r="F12" s="30"/>
      <c r="G12" s="30"/>
      <c r="H12" s="17"/>
      <c r="I12" s="17"/>
      <c r="J12" s="17"/>
      <c r="K12" s="18"/>
    </row>
    <row r="13" spans="1:11" s="31" customFormat="1" ht="13.5" customHeight="1">
      <c r="A13" s="28" t="s">
        <v>13</v>
      </c>
      <c r="B13" s="28" t="s">
        <v>14</v>
      </c>
      <c r="C13" s="28"/>
      <c r="D13" s="29">
        <v>100</v>
      </c>
      <c r="E13" s="30">
        <f>E15+E19+E23+E31+E35</f>
        <v>210088163730</v>
      </c>
      <c r="F13" s="30"/>
      <c r="G13" s="30">
        <f>G15+G19+G23+G31+G35</f>
        <v>241057537242</v>
      </c>
      <c r="H13" s="30">
        <f>H15+H19+H23+H31+H35</f>
        <v>241247420390</v>
      </c>
      <c r="I13" s="30">
        <f>I15+I19+I23+I31+I35</f>
        <v>-189883148</v>
      </c>
      <c r="J13" s="30">
        <f>J15+J19+J23+J31+J35</f>
        <v>-30969373512</v>
      </c>
      <c r="K13" s="18">
        <f>IF(J13=0,0%,IF(G13=0,100%,J13/G13))</f>
        <v>-0.12847295241761947</v>
      </c>
    </row>
    <row r="14" spans="1:11" s="31" customFormat="1" ht="13.5" customHeight="1">
      <c r="A14" s="28"/>
      <c r="B14" s="28"/>
      <c r="C14" s="28"/>
      <c r="D14" s="29"/>
      <c r="E14" s="30"/>
      <c r="F14" s="30"/>
      <c r="G14" s="30"/>
      <c r="H14" s="17"/>
      <c r="I14" s="17"/>
      <c r="J14" s="17"/>
      <c r="K14" s="18"/>
    </row>
    <row r="15" spans="1:11" s="31" customFormat="1" ht="13.5" customHeight="1">
      <c r="A15" s="28" t="s">
        <v>15</v>
      </c>
      <c r="B15" s="28" t="s">
        <v>16</v>
      </c>
      <c r="C15" s="28"/>
      <c r="D15" s="29">
        <v>110</v>
      </c>
      <c r="E15" s="30">
        <f>SUM(E16:E17)</f>
        <v>21588891247</v>
      </c>
      <c r="F15" s="30"/>
      <c r="G15" s="30">
        <v>30405470607</v>
      </c>
      <c r="H15" s="30">
        <f>SUM(H16:H17)</f>
        <v>30405470607</v>
      </c>
      <c r="I15" s="30">
        <f>SUM(I16:I17)</f>
        <v>0</v>
      </c>
      <c r="J15" s="30">
        <f>SUM(J16:J17)</f>
        <v>-8816579360</v>
      </c>
      <c r="K15" s="18">
        <f>IF(J15=0,0%,IF(G15=0,100%,J15/G15))</f>
        <v>-0.28996687714382</v>
      </c>
    </row>
    <row r="16" spans="1:15" ht="13.5" customHeight="1">
      <c r="A16" s="32" t="s">
        <v>17</v>
      </c>
      <c r="B16" s="33" t="s">
        <v>18</v>
      </c>
      <c r="C16" s="33"/>
      <c r="D16" s="34">
        <v>111</v>
      </c>
      <c r="E16" s="7">
        <f>126608611+6043091152+15419191484</f>
        <v>21588891247</v>
      </c>
      <c r="F16" s="7"/>
      <c r="G16" s="7">
        <v>30405470607</v>
      </c>
      <c r="H16" s="3">
        <v>30405470607</v>
      </c>
      <c r="J16" s="3">
        <f>E16-G16</f>
        <v>-8816579360</v>
      </c>
      <c r="K16" s="4">
        <f>IF(J16=0,0%,IF(G16=0,100%,J16/G16))</f>
        <v>-0.28996687714382</v>
      </c>
      <c r="O16" s="3">
        <f>G16-E16</f>
        <v>8816579360</v>
      </c>
    </row>
    <row r="17" spans="1:15" ht="13.5" customHeight="1">
      <c r="A17" s="32" t="s">
        <v>19</v>
      </c>
      <c r="B17" s="33" t="s">
        <v>20</v>
      </c>
      <c r="C17" s="33"/>
      <c r="D17" s="34">
        <v>112</v>
      </c>
      <c r="E17" s="7">
        <f>H17+I17</f>
        <v>0</v>
      </c>
      <c r="F17" s="7"/>
      <c r="G17" s="7">
        <v>0</v>
      </c>
      <c r="J17" s="3">
        <f>E17-G17</f>
        <v>0</v>
      </c>
      <c r="K17" s="4">
        <f>IF(J17=0,0%,IF(G17=0,100%,J17/G17))</f>
        <v>0</v>
      </c>
      <c r="O17" s="3">
        <f aca="true" t="shared" si="0" ref="O17:O80">G17-E17</f>
        <v>0</v>
      </c>
    </row>
    <row r="18" spans="1:15" ht="13.5" customHeight="1">
      <c r="A18" s="32"/>
      <c r="B18" s="33"/>
      <c r="C18" s="33"/>
      <c r="D18" s="34"/>
      <c r="E18" s="7"/>
      <c r="F18" s="7"/>
      <c r="G18" s="7"/>
      <c r="O18" s="3">
        <f t="shared" si="0"/>
        <v>0</v>
      </c>
    </row>
    <row r="19" spans="1:15" s="31" customFormat="1" ht="13.5" customHeight="1">
      <c r="A19" s="28" t="s">
        <v>21</v>
      </c>
      <c r="B19" s="28" t="s">
        <v>22</v>
      </c>
      <c r="C19" s="28"/>
      <c r="D19" s="29">
        <v>120</v>
      </c>
      <c r="E19" s="30">
        <f>SUM(E20:E21)</f>
        <v>0</v>
      </c>
      <c r="F19" s="30"/>
      <c r="G19" s="30">
        <v>0</v>
      </c>
      <c r="H19" s="30">
        <f>SUM(H20:H21)</f>
        <v>0</v>
      </c>
      <c r="I19" s="30">
        <f>SUM(I20:I21)</f>
        <v>0</v>
      </c>
      <c r="J19" s="30">
        <f>SUM(J20:J21)</f>
        <v>0</v>
      </c>
      <c r="K19" s="18"/>
      <c r="O19" s="3">
        <f t="shared" si="0"/>
        <v>0</v>
      </c>
    </row>
    <row r="20" spans="1:15" ht="13.5" customHeight="1">
      <c r="A20" s="32" t="s">
        <v>17</v>
      </c>
      <c r="B20" s="33" t="s">
        <v>23</v>
      </c>
      <c r="C20" s="33"/>
      <c r="D20" s="34">
        <v>121</v>
      </c>
      <c r="E20" s="7">
        <f>H20+I20</f>
        <v>0</v>
      </c>
      <c r="F20" s="7"/>
      <c r="G20" s="7">
        <v>0</v>
      </c>
      <c r="J20" s="3">
        <f>E20-G20</f>
        <v>0</v>
      </c>
      <c r="K20" s="4">
        <f>IF(J20=0,0%,IF(G20=0,100%,J20/G20))</f>
        <v>0</v>
      </c>
      <c r="O20" s="3">
        <f t="shared" si="0"/>
        <v>0</v>
      </c>
    </row>
    <row r="21" spans="1:15" ht="13.5" customHeight="1">
      <c r="A21" s="32" t="s">
        <v>19</v>
      </c>
      <c r="B21" s="33" t="s">
        <v>24</v>
      </c>
      <c r="C21" s="33"/>
      <c r="D21" s="34">
        <v>129</v>
      </c>
      <c r="E21" s="7">
        <f>H21+I21</f>
        <v>0</v>
      </c>
      <c r="F21" s="7"/>
      <c r="G21" s="7">
        <v>0</v>
      </c>
      <c r="J21" s="3">
        <f>E21-G21</f>
        <v>0</v>
      </c>
      <c r="K21" s="4">
        <f>IF(J21=0,0%,IF(G21=0,100%,J21/G21))</f>
        <v>0</v>
      </c>
      <c r="O21" s="3">
        <f t="shared" si="0"/>
        <v>0</v>
      </c>
    </row>
    <row r="22" spans="1:15" ht="13.5" customHeight="1">
      <c r="A22" s="32"/>
      <c r="B22" s="33"/>
      <c r="C22" s="33"/>
      <c r="D22" s="34"/>
      <c r="E22" s="7"/>
      <c r="F22" s="7"/>
      <c r="G22" s="7"/>
      <c r="O22" s="3">
        <f t="shared" si="0"/>
        <v>0</v>
      </c>
    </row>
    <row r="23" spans="1:15" s="31" customFormat="1" ht="13.5" customHeight="1">
      <c r="A23" s="28" t="s">
        <v>25</v>
      </c>
      <c r="B23" s="28" t="s">
        <v>26</v>
      </c>
      <c r="C23" s="28"/>
      <c r="D23" s="29">
        <v>130</v>
      </c>
      <c r="E23" s="30">
        <f>SUM(E24:E29)</f>
        <v>159529910561</v>
      </c>
      <c r="F23" s="30"/>
      <c r="G23" s="30">
        <v>189446465238</v>
      </c>
      <c r="H23" s="30">
        <f>SUM(H24:H29)</f>
        <v>191883392230</v>
      </c>
      <c r="I23" s="30">
        <f>SUM(I24:I29)</f>
        <v>-2436926992</v>
      </c>
      <c r="J23" s="30">
        <f>SUM(J24:J29)</f>
        <v>-29916554677</v>
      </c>
      <c r="K23" s="18"/>
      <c r="O23" s="3"/>
    </row>
    <row r="24" spans="1:16" ht="13.5" customHeight="1">
      <c r="A24" s="32" t="s">
        <v>17</v>
      </c>
      <c r="B24" s="33" t="s">
        <v>27</v>
      </c>
      <c r="C24" s="33"/>
      <c r="D24" s="34">
        <v>131</v>
      </c>
      <c r="E24" s="7">
        <v>133612315026</v>
      </c>
      <c r="F24" s="7"/>
      <c r="G24" s="7">
        <v>153179946085</v>
      </c>
      <c r="H24" s="3">
        <v>153179946085</v>
      </c>
      <c r="J24" s="3">
        <f aca="true" t="shared" si="1" ref="J24:J29">E24-G24</f>
        <v>-19567631059</v>
      </c>
      <c r="K24" s="4">
        <f aca="true" t="shared" si="2" ref="K24:K29">IF(J24=0,0%,IF(G24=0,100%,J24/G24))</f>
        <v>-0.12774277285710667</v>
      </c>
      <c r="O24" s="3">
        <f t="shared" si="0"/>
        <v>19567631059</v>
      </c>
      <c r="P24" s="108" t="s">
        <v>187</v>
      </c>
    </row>
    <row r="25" spans="1:16" ht="13.5" customHeight="1">
      <c r="A25" s="32" t="s">
        <v>19</v>
      </c>
      <c r="B25" s="33" t="s">
        <v>28</v>
      </c>
      <c r="C25" s="33"/>
      <c r="D25" s="34">
        <v>132</v>
      </c>
      <c r="E25" s="7">
        <v>18604086015</v>
      </c>
      <c r="F25" s="7"/>
      <c r="G25" s="7">
        <v>21397981384</v>
      </c>
      <c r="H25" s="3">
        <v>21397981384</v>
      </c>
      <c r="J25" s="3">
        <f t="shared" si="1"/>
        <v>-2793895369</v>
      </c>
      <c r="K25" s="4">
        <f t="shared" si="2"/>
        <v>-0.13056817457973352</v>
      </c>
      <c r="M25" s="3"/>
      <c r="O25" s="3">
        <f t="shared" si="0"/>
        <v>2793895369</v>
      </c>
      <c r="P25" s="108" t="s">
        <v>187</v>
      </c>
    </row>
    <row r="26" spans="1:15" ht="13.5" customHeight="1">
      <c r="A26" s="32" t="s">
        <v>29</v>
      </c>
      <c r="B26" s="33" t="s">
        <v>30</v>
      </c>
      <c r="C26" s="33"/>
      <c r="D26" s="34">
        <v>133</v>
      </c>
      <c r="E26" s="7">
        <f>H26+I26</f>
        <v>0</v>
      </c>
      <c r="F26" s="7"/>
      <c r="G26" s="7">
        <v>0</v>
      </c>
      <c r="J26" s="3">
        <f t="shared" si="1"/>
        <v>0</v>
      </c>
      <c r="K26" s="4">
        <f t="shared" si="2"/>
        <v>0</v>
      </c>
      <c r="O26" s="3">
        <f t="shared" si="0"/>
        <v>0</v>
      </c>
    </row>
    <row r="27" spans="1:15" ht="13.5" customHeight="1">
      <c r="A27" s="32" t="s">
        <v>31</v>
      </c>
      <c r="B27" s="33" t="s">
        <v>32</v>
      </c>
      <c r="C27" s="33"/>
      <c r="D27" s="34">
        <v>134</v>
      </c>
      <c r="E27" s="7">
        <f>H27+I27</f>
        <v>0</v>
      </c>
      <c r="F27" s="7"/>
      <c r="G27" s="7">
        <v>0</v>
      </c>
      <c r="J27" s="3">
        <f t="shared" si="1"/>
        <v>0</v>
      </c>
      <c r="K27" s="4">
        <f t="shared" si="2"/>
        <v>0</v>
      </c>
      <c r="O27" s="3">
        <f t="shared" si="0"/>
        <v>0</v>
      </c>
    </row>
    <row r="28" spans="1:16" ht="13.5" customHeight="1">
      <c r="A28" s="32" t="s">
        <v>33</v>
      </c>
      <c r="B28" s="33" t="s">
        <v>34</v>
      </c>
      <c r="C28" s="33"/>
      <c r="D28" s="34" t="s">
        <v>35</v>
      </c>
      <c r="E28" s="7">
        <f>13488575722+1931112036</f>
        <v>15419687758</v>
      </c>
      <c r="F28" s="7"/>
      <c r="G28" s="7">
        <v>16342862535</v>
      </c>
      <c r="H28" s="3">
        <v>18779789527</v>
      </c>
      <c r="I28" s="3">
        <f>-'[1]but toan dieu chinh'!E49</f>
        <v>-2436926992</v>
      </c>
      <c r="J28" s="3">
        <f t="shared" si="1"/>
        <v>-923174777</v>
      </c>
      <c r="K28" s="4">
        <f t="shared" si="2"/>
        <v>-0.0564879484865593</v>
      </c>
      <c r="O28" s="3">
        <f t="shared" si="0"/>
        <v>923174777</v>
      </c>
      <c r="P28" s="108" t="s">
        <v>187</v>
      </c>
    </row>
    <row r="29" spans="1:16" ht="13.5" customHeight="1">
      <c r="A29" s="32" t="s">
        <v>36</v>
      </c>
      <c r="B29" s="33" t="s">
        <v>37</v>
      </c>
      <c r="C29" s="33"/>
      <c r="D29" s="34">
        <v>139</v>
      </c>
      <c r="E29" s="7">
        <v>-8106178238</v>
      </c>
      <c r="F29" s="7"/>
      <c r="G29" s="7">
        <v>-1474324766</v>
      </c>
      <c r="H29" s="3">
        <f>-1474324766</f>
        <v>-1474324766</v>
      </c>
      <c r="J29" s="3">
        <f t="shared" si="1"/>
        <v>-6631853472</v>
      </c>
      <c r="K29" s="4">
        <f t="shared" si="2"/>
        <v>4.49823107156568</v>
      </c>
      <c r="O29" s="3">
        <f t="shared" si="0"/>
        <v>6631853472</v>
      </c>
      <c r="P29" s="108" t="s">
        <v>187</v>
      </c>
    </row>
    <row r="30" spans="1:15" ht="13.5" customHeight="1">
      <c r="A30" s="32"/>
      <c r="B30" s="33"/>
      <c r="C30" s="33"/>
      <c r="D30" s="34"/>
      <c r="E30" s="7"/>
      <c r="F30" s="7"/>
      <c r="G30" s="7"/>
      <c r="O30" s="3">
        <f t="shared" si="0"/>
        <v>0</v>
      </c>
    </row>
    <row r="31" spans="1:15" s="31" customFormat="1" ht="13.5" customHeight="1">
      <c r="A31" s="28" t="s">
        <v>38</v>
      </c>
      <c r="B31" s="28" t="s">
        <v>39</v>
      </c>
      <c r="C31" s="28"/>
      <c r="D31" s="29">
        <v>140</v>
      </c>
      <c r="E31" s="30">
        <f>SUM(E32:E33)</f>
        <v>23002584548</v>
      </c>
      <c r="F31" s="30"/>
      <c r="G31" s="30">
        <v>15482149709</v>
      </c>
      <c r="H31" s="30">
        <f>SUM(H32:H33)</f>
        <v>15672032857</v>
      </c>
      <c r="I31" s="30">
        <f>SUM(I32:I33)</f>
        <v>-189883148</v>
      </c>
      <c r="J31" s="30">
        <f>SUM(J32:J33)</f>
        <v>7520434839</v>
      </c>
      <c r="K31" s="18">
        <f>IF(J31=0,0%,IF(G31=0,100%,J31/G31))</f>
        <v>0.48574874809718843</v>
      </c>
      <c r="O31" s="3"/>
    </row>
    <row r="32" spans="1:16" ht="13.5" customHeight="1">
      <c r="A32" s="32" t="s">
        <v>17</v>
      </c>
      <c r="B32" s="33" t="s">
        <v>39</v>
      </c>
      <c r="C32" s="33"/>
      <c r="D32" s="34">
        <v>141</v>
      </c>
      <c r="E32" s="7">
        <f>10416867730+151506144+2184911601+10249299073</f>
        <v>23002584548</v>
      </c>
      <c r="F32" s="7"/>
      <c r="G32" s="7">
        <v>15482149709</v>
      </c>
      <c r="H32" s="3">
        <v>15672032857</v>
      </c>
      <c r="I32" s="3">
        <f>-'[1]but toan dieu chinh'!F19</f>
        <v>-189883148</v>
      </c>
      <c r="J32" s="3">
        <f>E32-G32</f>
        <v>7520434839</v>
      </c>
      <c r="K32" s="4">
        <f>J32/G32</f>
        <v>0.48574874809718843</v>
      </c>
      <c r="O32" s="3">
        <f t="shared" si="0"/>
        <v>-7520434839</v>
      </c>
      <c r="P32" s="108" t="s">
        <v>187</v>
      </c>
    </row>
    <row r="33" spans="1:15" ht="13.5" customHeight="1">
      <c r="A33" s="32" t="s">
        <v>19</v>
      </c>
      <c r="B33" s="33" t="s">
        <v>40</v>
      </c>
      <c r="C33" s="33"/>
      <c r="D33" s="34">
        <v>149</v>
      </c>
      <c r="E33" s="7"/>
      <c r="F33" s="7"/>
      <c r="G33" s="7">
        <v>0</v>
      </c>
      <c r="J33" s="3">
        <f>E33-G33</f>
        <v>0</v>
      </c>
      <c r="K33" s="18">
        <f>IF(J33=0,0%,IF(G33=0,100%,J33/G33))</f>
        <v>0</v>
      </c>
      <c r="O33" s="3">
        <f t="shared" si="0"/>
        <v>0</v>
      </c>
    </row>
    <row r="34" spans="1:15" ht="13.5" customHeight="1">
      <c r="A34" s="32"/>
      <c r="B34" s="33"/>
      <c r="C34" s="33"/>
      <c r="D34" s="34"/>
      <c r="E34" s="7"/>
      <c r="F34" s="7"/>
      <c r="G34" s="7"/>
      <c r="O34" s="3">
        <f t="shared" si="0"/>
        <v>0</v>
      </c>
    </row>
    <row r="35" spans="1:15" s="31" customFormat="1" ht="13.5" customHeight="1">
      <c r="A35" s="28" t="s">
        <v>41</v>
      </c>
      <c r="B35" s="28" t="s">
        <v>42</v>
      </c>
      <c r="C35" s="28"/>
      <c r="D35" s="29">
        <v>150</v>
      </c>
      <c r="E35" s="30">
        <f>SUM(E36:E39)</f>
        <v>5966777374</v>
      </c>
      <c r="F35" s="30"/>
      <c r="G35" s="30">
        <v>5723451688</v>
      </c>
      <c r="H35" s="30">
        <f>SUM(H36:H39)</f>
        <v>3286524696</v>
      </c>
      <c r="I35" s="30">
        <f>SUM(I36:I39)</f>
        <v>2436926992</v>
      </c>
      <c r="J35" s="30">
        <f>SUM(J36:J39)</f>
        <v>243325686</v>
      </c>
      <c r="K35" s="18">
        <f>IF(J35=0,0%,IF(G35=0,100%,J35/G35))</f>
        <v>0.042513800983096546</v>
      </c>
      <c r="O35" s="3"/>
    </row>
    <row r="36" spans="1:16" ht="13.5" customHeight="1">
      <c r="A36" s="32" t="s">
        <v>17</v>
      </c>
      <c r="B36" s="33" t="s">
        <v>43</v>
      </c>
      <c r="C36" s="33"/>
      <c r="D36" s="34">
        <v>151</v>
      </c>
      <c r="E36" s="7">
        <f>54828131+1519398+8450550</f>
        <v>64798079</v>
      </c>
      <c r="F36" s="7"/>
      <c r="G36" s="7">
        <v>156133132</v>
      </c>
      <c r="H36" s="3">
        <v>156133132</v>
      </c>
      <c r="J36" s="3">
        <f>E36-G36</f>
        <v>-91335053</v>
      </c>
      <c r="K36" s="4">
        <f>IF(J36=0,0%,IF(G36=0,100%,J36/G36))</f>
        <v>-0.5849818794386319</v>
      </c>
      <c r="O36" s="3">
        <f t="shared" si="0"/>
        <v>91335053</v>
      </c>
      <c r="P36" s="108" t="s">
        <v>187</v>
      </c>
    </row>
    <row r="37" spans="1:16" ht="13.5" customHeight="1">
      <c r="A37" s="32" t="s">
        <v>19</v>
      </c>
      <c r="B37" s="33" t="s">
        <v>44</v>
      </c>
      <c r="C37" s="33"/>
      <c r="D37" s="34">
        <v>152</v>
      </c>
      <c r="E37" s="7">
        <f>4851786016+727416042-928399490-727416042</f>
        <v>3923386526</v>
      </c>
      <c r="F37" s="7"/>
      <c r="G37" s="7">
        <v>3130391564</v>
      </c>
      <c r="H37" s="3">
        <v>3130391564</v>
      </c>
      <c r="J37" s="3">
        <f>E37-G37</f>
        <v>792994962</v>
      </c>
      <c r="K37" s="4">
        <f>IF(J37=0,0%,IF(G37=0,100%,J37/G37))</f>
        <v>0.25332133242357535</v>
      </c>
      <c r="O37" s="3">
        <f t="shared" si="0"/>
        <v>-792994962</v>
      </c>
      <c r="P37" s="108" t="s">
        <v>187</v>
      </c>
    </row>
    <row r="38" spans="1:15" ht="13.5" customHeight="1">
      <c r="A38" s="32" t="s">
        <v>29</v>
      </c>
      <c r="B38" s="33" t="s">
        <v>45</v>
      </c>
      <c r="C38" s="33"/>
      <c r="D38" s="34" t="s">
        <v>46</v>
      </c>
      <c r="E38" s="7">
        <f>H38+I38</f>
        <v>0</v>
      </c>
      <c r="F38" s="7"/>
      <c r="G38" s="7">
        <v>0</v>
      </c>
      <c r="J38" s="3">
        <f>E38-G38</f>
        <v>0</v>
      </c>
      <c r="K38" s="4">
        <f>IF(J38=0,0%,IF(G38=0,100%,J38/G38))</f>
        <v>0</v>
      </c>
      <c r="O38" s="3">
        <f t="shared" si="0"/>
        <v>0</v>
      </c>
    </row>
    <row r="39" spans="1:16" ht="13.5" customHeight="1">
      <c r="A39" s="32" t="s">
        <v>31</v>
      </c>
      <c r="B39" s="33" t="s">
        <v>42</v>
      </c>
      <c r="C39" s="33"/>
      <c r="D39" s="34">
        <v>158</v>
      </c>
      <c r="E39" s="7">
        <f>1943719769+34873000</f>
        <v>1978592769</v>
      </c>
      <c r="F39" s="7"/>
      <c r="G39" s="3">
        <v>2436926992</v>
      </c>
      <c r="I39" s="3">
        <f>'[1]but toan dieu chinh'!F49</f>
        <v>2436926992</v>
      </c>
      <c r="J39" s="3">
        <f>E39-G39</f>
        <v>-458334223</v>
      </c>
      <c r="K39" s="4">
        <f>IF(J39=0,0%,IF(G39=0,100%,J39/G39))</f>
        <v>-0.18807876662067846</v>
      </c>
      <c r="O39" s="3">
        <f t="shared" si="0"/>
        <v>458334223</v>
      </c>
      <c r="P39" s="108" t="s">
        <v>187</v>
      </c>
    </row>
    <row r="40" spans="1:15" ht="13.5" customHeight="1">
      <c r="A40" s="32"/>
      <c r="B40" s="33"/>
      <c r="C40" s="33"/>
      <c r="D40" s="34"/>
      <c r="E40" s="7"/>
      <c r="F40" s="7"/>
      <c r="O40" s="3">
        <f t="shared" si="0"/>
        <v>0</v>
      </c>
    </row>
    <row r="41" spans="1:15" ht="13.5" customHeight="1">
      <c r="A41" s="32"/>
      <c r="B41" s="33"/>
      <c r="C41" s="33"/>
      <c r="D41" s="34"/>
      <c r="E41" s="7"/>
      <c r="F41" s="7"/>
      <c r="O41" s="3">
        <f t="shared" si="0"/>
        <v>0</v>
      </c>
    </row>
    <row r="42" spans="1:15" ht="13.5" customHeight="1">
      <c r="A42" s="32"/>
      <c r="B42" s="33"/>
      <c r="C42" s="33"/>
      <c r="D42" s="34"/>
      <c r="E42" s="7"/>
      <c r="F42" s="7"/>
      <c r="O42" s="3">
        <f t="shared" si="0"/>
        <v>0</v>
      </c>
    </row>
    <row r="43" spans="1:15" ht="13.5" customHeight="1">
      <c r="A43" s="32"/>
      <c r="B43" s="33"/>
      <c r="C43" s="33"/>
      <c r="D43" s="34"/>
      <c r="E43" s="7"/>
      <c r="F43" s="7"/>
      <c r="O43" s="3">
        <f t="shared" si="0"/>
        <v>0</v>
      </c>
    </row>
    <row r="44" spans="1:15" ht="13.5" customHeight="1">
      <c r="A44" s="32"/>
      <c r="B44" s="33"/>
      <c r="C44" s="33"/>
      <c r="D44" s="34"/>
      <c r="E44" s="7"/>
      <c r="F44" s="7"/>
      <c r="O44" s="3">
        <f t="shared" si="0"/>
        <v>0</v>
      </c>
    </row>
    <row r="45" spans="1:15" ht="13.5" customHeight="1">
      <c r="A45" s="32"/>
      <c r="B45" s="33"/>
      <c r="C45" s="33"/>
      <c r="D45" s="34"/>
      <c r="E45" s="7"/>
      <c r="F45" s="7"/>
      <c r="O45" s="3">
        <f t="shared" si="0"/>
        <v>0</v>
      </c>
    </row>
    <row r="46" spans="1:15" ht="13.5" customHeight="1">
      <c r="A46" s="32"/>
      <c r="B46" s="33"/>
      <c r="C46" s="33"/>
      <c r="D46" s="34"/>
      <c r="E46" s="7"/>
      <c r="F46" s="7"/>
      <c r="O46" s="3">
        <f t="shared" si="0"/>
        <v>0</v>
      </c>
    </row>
    <row r="47" spans="1:15" ht="13.5" customHeight="1">
      <c r="A47" s="32"/>
      <c r="B47" s="33"/>
      <c r="C47" s="33"/>
      <c r="D47" s="34"/>
      <c r="E47" s="7"/>
      <c r="F47" s="7"/>
      <c r="O47" s="3">
        <f t="shared" si="0"/>
        <v>0</v>
      </c>
    </row>
    <row r="48" spans="1:15" ht="13.5" customHeight="1">
      <c r="A48" s="32"/>
      <c r="B48" s="33"/>
      <c r="C48" s="33"/>
      <c r="D48" s="34"/>
      <c r="E48" s="7"/>
      <c r="F48" s="7"/>
      <c r="O48" s="3">
        <f t="shared" si="0"/>
        <v>0</v>
      </c>
    </row>
    <row r="49" spans="1:15" ht="13.5" customHeight="1">
      <c r="A49" s="32"/>
      <c r="B49" s="33"/>
      <c r="C49" s="33"/>
      <c r="D49" s="34"/>
      <c r="E49" s="7"/>
      <c r="F49" s="7"/>
      <c r="O49" s="3">
        <f t="shared" si="0"/>
        <v>0</v>
      </c>
    </row>
    <row r="50" spans="1:15" ht="13.5" customHeight="1">
      <c r="A50" s="33"/>
      <c r="B50" s="33"/>
      <c r="C50" s="33"/>
      <c r="D50" s="34"/>
      <c r="E50" s="7"/>
      <c r="F50" s="7"/>
      <c r="G50" s="7"/>
      <c r="O50" s="3">
        <f t="shared" si="0"/>
        <v>0</v>
      </c>
    </row>
    <row r="51" ht="13.5" customHeight="1">
      <c r="O51" s="3">
        <f t="shared" si="0"/>
        <v>0</v>
      </c>
    </row>
    <row r="52" spans="1:15" s="2" customFormat="1" ht="13.5" customHeight="1">
      <c r="A52" s="36" t="s">
        <v>182</v>
      </c>
      <c r="B52" s="36"/>
      <c r="C52" s="36"/>
      <c r="D52" s="36"/>
      <c r="E52" s="36"/>
      <c r="F52" s="36"/>
      <c r="G52" s="33"/>
      <c r="H52" s="7"/>
      <c r="I52" s="3"/>
      <c r="J52" s="3"/>
      <c r="K52" s="4"/>
      <c r="O52" s="3">
        <f t="shared" si="0"/>
        <v>0</v>
      </c>
    </row>
    <row r="53" spans="1:15" ht="13.5" customHeight="1" thickBot="1">
      <c r="A53" s="37" t="s">
        <v>47</v>
      </c>
      <c r="B53" s="38"/>
      <c r="C53" s="38"/>
      <c r="D53" s="39"/>
      <c r="E53" s="40"/>
      <c r="F53" s="40"/>
      <c r="G53" s="40"/>
      <c r="O53" s="3">
        <f t="shared" si="0"/>
        <v>0</v>
      </c>
    </row>
    <row r="54" spans="4:15" ht="13.5" customHeight="1">
      <c r="D54" s="41"/>
      <c r="E54" s="35"/>
      <c r="F54" s="35"/>
      <c r="G54" s="35"/>
      <c r="O54" s="3">
        <f t="shared" si="0"/>
        <v>0</v>
      </c>
    </row>
    <row r="55" spans="1:15" ht="27.75" customHeight="1">
      <c r="A55" s="20" t="s">
        <v>5</v>
      </c>
      <c r="B55" s="21"/>
      <c r="C55" s="21"/>
      <c r="D55" s="22" t="s">
        <v>6</v>
      </c>
      <c r="E55" s="23" t="s">
        <v>7</v>
      </c>
      <c r="F55" s="24"/>
      <c r="G55" s="23" t="s">
        <v>8</v>
      </c>
      <c r="O55" s="3"/>
    </row>
    <row r="56" spans="1:15" ht="13.5" customHeight="1">
      <c r="A56" s="33"/>
      <c r="B56" s="33"/>
      <c r="C56" s="33"/>
      <c r="D56" s="34"/>
      <c r="E56" s="42"/>
      <c r="F56" s="42"/>
      <c r="G56" s="42"/>
      <c r="O56" s="3">
        <f t="shared" si="0"/>
        <v>0</v>
      </c>
    </row>
    <row r="57" spans="1:15" ht="13.5" customHeight="1">
      <c r="A57" s="28" t="s">
        <v>48</v>
      </c>
      <c r="B57" s="28" t="s">
        <v>49</v>
      </c>
      <c r="C57" s="28"/>
      <c r="D57" s="29">
        <v>200</v>
      </c>
      <c r="E57" s="30">
        <f>E59+E66+E78+E82+E88</f>
        <v>545821293430</v>
      </c>
      <c r="F57" s="30"/>
      <c r="G57" s="30">
        <f>G59+G66+G78+G82+G88</f>
        <v>499248947661</v>
      </c>
      <c r="H57" s="30">
        <f>H59+H66+H78+H82+H88</f>
        <v>497533130723</v>
      </c>
      <c r="I57" s="30">
        <f>I59+I66+I78+I82+I88</f>
        <v>1715816938</v>
      </c>
      <c r="J57" s="30">
        <f>J59+J66+J78+J82+J88</f>
        <v>46572345769</v>
      </c>
      <c r="K57" s="4">
        <f>IF(J57=0,0%,IF(G57=0,100%,J57/G57))</f>
        <v>0.09328481509514078</v>
      </c>
      <c r="O57" s="3"/>
    </row>
    <row r="58" spans="1:15" ht="13.5" customHeight="1">
      <c r="A58" s="28"/>
      <c r="B58" s="28"/>
      <c r="C58" s="28"/>
      <c r="D58" s="29"/>
      <c r="E58" s="30"/>
      <c r="F58" s="30"/>
      <c r="G58" s="30"/>
      <c r="O58" s="3">
        <f t="shared" si="0"/>
        <v>0</v>
      </c>
    </row>
    <row r="59" spans="1:15" ht="13.5" customHeight="1">
      <c r="A59" s="28" t="s">
        <v>15</v>
      </c>
      <c r="B59" s="28" t="s">
        <v>50</v>
      </c>
      <c r="C59" s="28"/>
      <c r="D59" s="29">
        <v>210</v>
      </c>
      <c r="E59" s="30">
        <f>SUM(E60:E64)</f>
        <v>11680000</v>
      </c>
      <c r="F59" s="30"/>
      <c r="G59" s="30">
        <v>11680000</v>
      </c>
      <c r="H59" s="30">
        <f>SUM(H60:H64)</f>
        <v>11680000</v>
      </c>
      <c r="I59" s="30">
        <f>SUM(I60:I64)</f>
        <v>0</v>
      </c>
      <c r="J59" s="30">
        <f>SUM(J60:J64)</f>
        <v>0</v>
      </c>
      <c r="K59" s="4">
        <f>IF(J59=0,0%,IF(G59=0,100%,J59/G59))</f>
        <v>0</v>
      </c>
      <c r="O59" s="3">
        <f t="shared" si="0"/>
        <v>0</v>
      </c>
    </row>
    <row r="60" spans="1:15" ht="13.5" customHeight="1">
      <c r="A60" s="32" t="s">
        <v>17</v>
      </c>
      <c r="B60" s="33" t="s">
        <v>51</v>
      </c>
      <c r="C60" s="33"/>
      <c r="D60" s="34">
        <v>211</v>
      </c>
      <c r="E60" s="7">
        <f>H60+I60</f>
        <v>0</v>
      </c>
      <c r="F60" s="7"/>
      <c r="G60" s="7">
        <v>0</v>
      </c>
      <c r="J60" s="3">
        <f>E60-G60</f>
        <v>0</v>
      </c>
      <c r="K60" s="4">
        <f aca="true" t="shared" si="3" ref="K60:K93">IF(J60=0,0%,IF(G60=0,100%,J60/G60))</f>
        <v>0</v>
      </c>
      <c r="O60" s="3">
        <f t="shared" si="0"/>
        <v>0</v>
      </c>
    </row>
    <row r="61" spans="1:15" ht="13.5" customHeight="1">
      <c r="A61" s="32" t="s">
        <v>19</v>
      </c>
      <c r="B61" s="33" t="s">
        <v>52</v>
      </c>
      <c r="C61" s="33"/>
      <c r="D61" s="34">
        <v>212</v>
      </c>
      <c r="E61" s="7">
        <f>H61+I61</f>
        <v>0</v>
      </c>
      <c r="F61" s="7"/>
      <c r="G61" s="7">
        <v>0</v>
      </c>
      <c r="J61" s="3">
        <f>E61-G61</f>
        <v>0</v>
      </c>
      <c r="K61" s="4">
        <f t="shared" si="3"/>
        <v>0</v>
      </c>
      <c r="O61" s="3">
        <f t="shared" si="0"/>
        <v>0</v>
      </c>
    </row>
    <row r="62" spans="1:15" ht="13.5" customHeight="1">
      <c r="A62" s="32" t="s">
        <v>29</v>
      </c>
      <c r="B62" s="33" t="s">
        <v>53</v>
      </c>
      <c r="C62" s="33"/>
      <c r="D62" s="34">
        <v>213</v>
      </c>
      <c r="E62" s="7">
        <f>H62+I62</f>
        <v>0</v>
      </c>
      <c r="F62" s="7"/>
      <c r="G62" s="7">
        <v>0</v>
      </c>
      <c r="J62" s="3">
        <f>E62-G62</f>
        <v>0</v>
      </c>
      <c r="K62" s="4">
        <f t="shared" si="3"/>
        <v>0</v>
      </c>
      <c r="O62" s="3">
        <f t="shared" si="0"/>
        <v>0</v>
      </c>
    </row>
    <row r="63" spans="1:15" ht="13.5" customHeight="1">
      <c r="A63" s="32" t="s">
        <v>31</v>
      </c>
      <c r="B63" s="33" t="s">
        <v>54</v>
      </c>
      <c r="C63" s="33"/>
      <c r="D63" s="34" t="s">
        <v>55</v>
      </c>
      <c r="E63" s="7">
        <f>H63+I63</f>
        <v>11680000</v>
      </c>
      <c r="F63" s="7"/>
      <c r="G63" s="7">
        <v>11680000</v>
      </c>
      <c r="H63" s="7">
        <v>11680000</v>
      </c>
      <c r="J63" s="3">
        <f>E63-G63</f>
        <v>0</v>
      </c>
      <c r="K63" s="4">
        <f t="shared" si="3"/>
        <v>0</v>
      </c>
      <c r="O63" s="3">
        <f t="shared" si="0"/>
        <v>0</v>
      </c>
    </row>
    <row r="64" spans="1:15" ht="13.5" customHeight="1">
      <c r="A64" s="32" t="s">
        <v>33</v>
      </c>
      <c r="B64" s="33" t="s">
        <v>56</v>
      </c>
      <c r="C64" s="33"/>
      <c r="D64" s="34">
        <v>219</v>
      </c>
      <c r="E64" s="7">
        <f>H64+I64</f>
        <v>0</v>
      </c>
      <c r="F64" s="7"/>
      <c r="G64" s="7">
        <v>0</v>
      </c>
      <c r="J64" s="3">
        <f>E64-G64</f>
        <v>0</v>
      </c>
      <c r="K64" s="4">
        <f t="shared" si="3"/>
        <v>0</v>
      </c>
      <c r="O64" s="3">
        <f t="shared" si="0"/>
        <v>0</v>
      </c>
    </row>
    <row r="65" spans="1:15" ht="13.5" customHeight="1">
      <c r="A65" s="33"/>
      <c r="B65" s="33"/>
      <c r="C65" s="33"/>
      <c r="D65" s="34"/>
      <c r="E65" s="42"/>
      <c r="F65" s="42"/>
      <c r="G65" s="42"/>
      <c r="O65" s="3">
        <f t="shared" si="0"/>
        <v>0</v>
      </c>
    </row>
    <row r="66" spans="1:15" ht="13.5" customHeight="1">
      <c r="A66" s="28" t="s">
        <v>21</v>
      </c>
      <c r="B66" s="28" t="s">
        <v>57</v>
      </c>
      <c r="C66" s="28"/>
      <c r="D66" s="29" t="s">
        <v>58</v>
      </c>
      <c r="E66" s="30">
        <f>E67+E70+E73+E76</f>
        <v>545339342919</v>
      </c>
      <c r="F66" s="30"/>
      <c r="G66" s="30">
        <v>498764574413</v>
      </c>
      <c r="H66" s="30">
        <f>H67+H70+H73+H76</f>
        <v>497517800357</v>
      </c>
      <c r="I66" s="30">
        <f>I67+I70+I73+I76</f>
        <v>1246774056</v>
      </c>
      <c r="J66" s="30">
        <f>J67+J70+J73+J76</f>
        <v>46574768506</v>
      </c>
      <c r="K66" s="4">
        <f t="shared" si="3"/>
        <v>0.09338026575125993</v>
      </c>
      <c r="O66" s="3"/>
    </row>
    <row r="67" spans="1:15" ht="13.5" customHeight="1">
      <c r="A67" s="32" t="s">
        <v>17</v>
      </c>
      <c r="B67" s="33" t="s">
        <v>59</v>
      </c>
      <c r="C67" s="33"/>
      <c r="D67" s="34">
        <v>221</v>
      </c>
      <c r="E67" s="7">
        <f>SUM(E68:E69)</f>
        <v>432330553042</v>
      </c>
      <c r="F67" s="7"/>
      <c r="G67" s="7">
        <v>422223861061</v>
      </c>
      <c r="H67" s="7">
        <f>SUM(H68:H69)</f>
        <v>420977087005</v>
      </c>
      <c r="I67" s="7">
        <f>SUM(I68:I69)</f>
        <v>1246774056</v>
      </c>
      <c r="J67" s="7">
        <f>SUM(J68:J69)</f>
        <v>10106691981</v>
      </c>
      <c r="K67" s="4">
        <f t="shared" si="3"/>
        <v>0.023936809150489614</v>
      </c>
      <c r="O67" s="3">
        <f t="shared" si="0"/>
        <v>-10106691981</v>
      </c>
    </row>
    <row r="68" spans="1:15" s="48" customFormat="1" ht="13.5" customHeight="1">
      <c r="A68" s="43"/>
      <c r="B68" s="43" t="s">
        <v>60</v>
      </c>
      <c r="C68" s="43"/>
      <c r="D68" s="44">
        <v>222</v>
      </c>
      <c r="E68" s="45">
        <f>2929871654+476272571304+936668043</f>
        <v>480139111001</v>
      </c>
      <c r="F68" s="45"/>
      <c r="G68" s="45">
        <v>468332470670</v>
      </c>
      <c r="H68" s="46">
        <v>468332470670</v>
      </c>
      <c r="I68" s="46"/>
      <c r="J68" s="46">
        <f>E68-G68</f>
        <v>11806640331</v>
      </c>
      <c r="K68" s="47">
        <f t="shared" si="3"/>
        <v>0.025209954616448718</v>
      </c>
      <c r="O68" s="3">
        <f t="shared" si="0"/>
        <v>-11806640331</v>
      </c>
    </row>
    <row r="69" spans="1:16" s="48" customFormat="1" ht="13.5" customHeight="1">
      <c r="A69" s="43"/>
      <c r="B69" s="43" t="s">
        <v>61</v>
      </c>
      <c r="C69" s="43"/>
      <c r="D69" s="44">
        <v>223</v>
      </c>
      <c r="E69" s="45">
        <v>-47808557959</v>
      </c>
      <c r="F69" s="45"/>
      <c r="G69" s="45">
        <v>-46108609609</v>
      </c>
      <c r="H69" s="46">
        <v>-47355383665</v>
      </c>
      <c r="I69" s="46">
        <f>'[1]but toan dieu chinh'!E37</f>
        <v>1246774056</v>
      </c>
      <c r="J69" s="46">
        <f>E69-G69</f>
        <v>-1699948350</v>
      </c>
      <c r="K69" s="47">
        <f t="shared" si="3"/>
        <v>0.03686834984649342</v>
      </c>
      <c r="O69" s="3">
        <f t="shared" si="0"/>
        <v>1699948350</v>
      </c>
      <c r="P69" s="107" t="s">
        <v>187</v>
      </c>
    </row>
    <row r="70" spans="1:15" ht="13.5" customHeight="1">
      <c r="A70" s="32" t="s">
        <v>19</v>
      </c>
      <c r="B70" s="33" t="s">
        <v>62</v>
      </c>
      <c r="C70" s="33"/>
      <c r="D70" s="34">
        <v>224</v>
      </c>
      <c r="E70" s="7">
        <f>SUM(E71:E72)</f>
        <v>303296791</v>
      </c>
      <c r="F70" s="7"/>
      <c r="G70" s="7">
        <v>321137779</v>
      </c>
      <c r="H70" s="7">
        <f>SUM(H71:H72)</f>
        <v>321137779</v>
      </c>
      <c r="I70" s="7">
        <f>SUM(I71:I72)</f>
        <v>0</v>
      </c>
      <c r="J70" s="7">
        <f>SUM(J71:J72)</f>
        <v>-17840988</v>
      </c>
      <c r="K70" s="4">
        <f t="shared" si="3"/>
        <v>-0.055555556420535626</v>
      </c>
      <c r="O70" s="3">
        <f t="shared" si="0"/>
        <v>17840988</v>
      </c>
    </row>
    <row r="71" spans="1:15" ht="13.5" customHeight="1">
      <c r="A71" s="43"/>
      <c r="B71" s="43" t="s">
        <v>60</v>
      </c>
      <c r="C71" s="43"/>
      <c r="D71" s="44">
        <v>225</v>
      </c>
      <c r="E71" s="45">
        <f>H71+I71</f>
        <v>570911611</v>
      </c>
      <c r="F71" s="45"/>
      <c r="G71" s="45">
        <v>570911611</v>
      </c>
      <c r="H71" s="45">
        <v>570911611</v>
      </c>
      <c r="J71" s="3">
        <f>E71-G71</f>
        <v>0</v>
      </c>
      <c r="K71" s="4">
        <f t="shared" si="3"/>
        <v>0</v>
      </c>
      <c r="O71" s="3">
        <f t="shared" si="0"/>
        <v>0</v>
      </c>
    </row>
    <row r="72" spans="1:16" ht="13.5" customHeight="1">
      <c r="A72" s="43"/>
      <c r="B72" s="43" t="s">
        <v>61</v>
      </c>
      <c r="C72" s="43"/>
      <c r="D72" s="44">
        <v>226</v>
      </c>
      <c r="E72" s="45">
        <v>-267614820</v>
      </c>
      <c r="F72" s="45"/>
      <c r="G72" s="45">
        <v>-249773832</v>
      </c>
      <c r="H72" s="3">
        <f>-249773832</f>
        <v>-249773832</v>
      </c>
      <c r="J72" s="3">
        <f>E72-G72</f>
        <v>-17840988</v>
      </c>
      <c r="K72" s="4">
        <f t="shared" si="3"/>
        <v>0.07142857142857142</v>
      </c>
      <c r="O72" s="3">
        <f t="shared" si="0"/>
        <v>17840988</v>
      </c>
      <c r="P72" s="108" t="s">
        <v>187</v>
      </c>
    </row>
    <row r="73" spans="1:15" ht="13.5" customHeight="1">
      <c r="A73" s="32" t="s">
        <v>29</v>
      </c>
      <c r="B73" s="33" t="s">
        <v>63</v>
      </c>
      <c r="C73" s="33"/>
      <c r="D73" s="34">
        <v>227</v>
      </c>
      <c r="E73" s="7">
        <f>SUM(E74:E75)</f>
        <v>7897916659</v>
      </c>
      <c r="F73" s="7"/>
      <c r="G73" s="7">
        <v>8054999991</v>
      </c>
      <c r="H73" s="7">
        <f>SUM(H74:H75)</f>
        <v>8054999991</v>
      </c>
      <c r="I73" s="7">
        <f>SUM(I74:I75)</f>
        <v>0</v>
      </c>
      <c r="J73" s="7">
        <f>SUM(J74:J75)</f>
        <v>-157083332</v>
      </c>
      <c r="K73" s="4">
        <f t="shared" si="3"/>
        <v>-0.01950134477659989</v>
      </c>
      <c r="O73" s="3">
        <f t="shared" si="0"/>
        <v>157083332</v>
      </c>
    </row>
    <row r="74" spans="1:15" ht="13.5" customHeight="1">
      <c r="A74" s="43"/>
      <c r="B74" s="43" t="s">
        <v>60</v>
      </c>
      <c r="C74" s="43"/>
      <c r="D74" s="44">
        <v>228</v>
      </c>
      <c r="E74" s="45">
        <f>H74+I74</f>
        <v>10385000000</v>
      </c>
      <c r="F74" s="45"/>
      <c r="G74" s="45">
        <v>10385000000</v>
      </c>
      <c r="H74" s="3">
        <v>10385000000</v>
      </c>
      <c r="J74" s="3">
        <f>E74-G74</f>
        <v>0</v>
      </c>
      <c r="K74" s="4">
        <f t="shared" si="3"/>
        <v>0</v>
      </c>
      <c r="O74" s="3">
        <f t="shared" si="0"/>
        <v>0</v>
      </c>
    </row>
    <row r="75" spans="1:16" ht="13.5" customHeight="1">
      <c r="A75" s="43"/>
      <c r="B75" s="43" t="s">
        <v>61</v>
      </c>
      <c r="C75" s="43"/>
      <c r="D75" s="44">
        <v>229</v>
      </c>
      <c r="E75" s="45">
        <v>-2487083341</v>
      </c>
      <c r="F75" s="45"/>
      <c r="G75" s="45">
        <v>-2330000009</v>
      </c>
      <c r="H75" s="3">
        <f>-2330000009</f>
        <v>-2330000009</v>
      </c>
      <c r="J75" s="3">
        <f>E75-G75</f>
        <v>-157083332</v>
      </c>
      <c r="K75" s="4">
        <f t="shared" si="3"/>
        <v>0.06741773879538213</v>
      </c>
      <c r="O75" s="3">
        <f t="shared" si="0"/>
        <v>157083332</v>
      </c>
      <c r="P75" s="108" t="s">
        <v>187</v>
      </c>
    </row>
    <row r="76" spans="1:15" ht="13.5" customHeight="1">
      <c r="A76" s="32" t="s">
        <v>31</v>
      </c>
      <c r="B76" s="33" t="s">
        <v>64</v>
      </c>
      <c r="C76" s="33"/>
      <c r="D76" s="34">
        <v>230</v>
      </c>
      <c r="E76" s="7">
        <f>65851483771+38956092656</f>
        <v>104807576427</v>
      </c>
      <c r="F76" s="7"/>
      <c r="G76" s="7">
        <v>68164575582</v>
      </c>
      <c r="H76" s="3">
        <v>68164575582</v>
      </c>
      <c r="J76" s="3">
        <f>E76-G76</f>
        <v>36643000845</v>
      </c>
      <c r="K76" s="4">
        <f t="shared" si="3"/>
        <v>0.5375666250708117</v>
      </c>
      <c r="O76" s="3">
        <f t="shared" si="0"/>
        <v>-36643000845</v>
      </c>
    </row>
    <row r="77" spans="1:15" ht="13.5" customHeight="1">
      <c r="A77" s="33"/>
      <c r="B77" s="33"/>
      <c r="C77" s="33"/>
      <c r="D77" s="34"/>
      <c r="E77" s="7"/>
      <c r="F77" s="7"/>
      <c r="G77" s="7"/>
      <c r="O77" s="3">
        <f t="shared" si="0"/>
        <v>0</v>
      </c>
    </row>
    <row r="78" spans="1:15" ht="13.5" customHeight="1">
      <c r="A78" s="28" t="s">
        <v>25</v>
      </c>
      <c r="B78" s="28" t="s">
        <v>65</v>
      </c>
      <c r="C78" s="28"/>
      <c r="D78" s="29">
        <v>240</v>
      </c>
      <c r="E78" s="30">
        <f>SUM(E79:E80)</f>
        <v>0</v>
      </c>
      <c r="F78" s="30"/>
      <c r="G78" s="30">
        <v>0</v>
      </c>
      <c r="H78" s="30">
        <f>SUM(H79:H80)</f>
        <v>0</v>
      </c>
      <c r="I78" s="30">
        <f>SUM(I79:I80)</f>
        <v>0</v>
      </c>
      <c r="J78" s="30">
        <f>SUM(J79:J80)</f>
        <v>0</v>
      </c>
      <c r="K78" s="4">
        <f t="shared" si="3"/>
        <v>0</v>
      </c>
      <c r="O78" s="3">
        <f t="shared" si="0"/>
        <v>0</v>
      </c>
    </row>
    <row r="79" spans="1:15" ht="13.5" customHeight="1">
      <c r="A79" s="33"/>
      <c r="B79" s="33" t="s">
        <v>60</v>
      </c>
      <c r="C79" s="33"/>
      <c r="D79" s="34">
        <v>241</v>
      </c>
      <c r="E79" s="7">
        <f>H79+I79</f>
        <v>0</v>
      </c>
      <c r="F79" s="7"/>
      <c r="G79" s="7">
        <v>0</v>
      </c>
      <c r="J79" s="3">
        <f>E79-G79</f>
        <v>0</v>
      </c>
      <c r="K79" s="4">
        <f t="shared" si="3"/>
        <v>0</v>
      </c>
      <c r="O79" s="3">
        <f t="shared" si="0"/>
        <v>0</v>
      </c>
    </row>
    <row r="80" spans="1:15" ht="13.5" customHeight="1">
      <c r="A80" s="33"/>
      <c r="B80" s="33" t="s">
        <v>61</v>
      </c>
      <c r="C80" s="33"/>
      <c r="D80" s="34">
        <v>242</v>
      </c>
      <c r="E80" s="7">
        <f>H80+I80</f>
        <v>0</v>
      </c>
      <c r="F80" s="7"/>
      <c r="G80" s="7">
        <v>0</v>
      </c>
      <c r="J80" s="3">
        <f>E80-G80</f>
        <v>0</v>
      </c>
      <c r="K80" s="4">
        <f t="shared" si="3"/>
        <v>0</v>
      </c>
      <c r="O80" s="3">
        <f t="shared" si="0"/>
        <v>0</v>
      </c>
    </row>
    <row r="81" spans="1:15" ht="13.5" customHeight="1">
      <c r="A81" s="33"/>
      <c r="B81" s="33"/>
      <c r="C81" s="33"/>
      <c r="D81" s="34"/>
      <c r="E81" s="7"/>
      <c r="F81" s="7"/>
      <c r="G81" s="7"/>
      <c r="O81" s="3">
        <f aca="true" t="shared" si="4" ref="O81:O93">G81-E81</f>
        <v>0</v>
      </c>
    </row>
    <row r="82" spans="1:15" ht="13.5" customHeight="1">
      <c r="A82" s="28" t="s">
        <v>38</v>
      </c>
      <c r="B82" s="28" t="s">
        <v>66</v>
      </c>
      <c r="C82" s="28"/>
      <c r="D82" s="29">
        <v>250</v>
      </c>
      <c r="E82" s="30">
        <f>SUM(E83:E86)</f>
        <v>0</v>
      </c>
      <c r="F82" s="30"/>
      <c r="G82" s="30">
        <v>0</v>
      </c>
      <c r="H82" s="30">
        <f>SUM(H83:H86)</f>
        <v>0</v>
      </c>
      <c r="I82" s="30">
        <f>SUM(I83:I86)</f>
        <v>0</v>
      </c>
      <c r="J82" s="30">
        <f>SUM(J83:J86)</f>
        <v>0</v>
      </c>
      <c r="K82" s="4">
        <f t="shared" si="3"/>
        <v>0</v>
      </c>
      <c r="O82" s="3">
        <f t="shared" si="4"/>
        <v>0</v>
      </c>
    </row>
    <row r="83" spans="1:15" ht="13.5" customHeight="1">
      <c r="A83" s="32" t="s">
        <v>17</v>
      </c>
      <c r="B83" s="33" t="s">
        <v>67</v>
      </c>
      <c r="C83" s="33"/>
      <c r="D83" s="34">
        <v>251</v>
      </c>
      <c r="E83" s="7">
        <f>H83+I83</f>
        <v>0</v>
      </c>
      <c r="F83" s="7"/>
      <c r="G83" s="7">
        <v>0</v>
      </c>
      <c r="J83" s="3">
        <f>E83-G83</f>
        <v>0</v>
      </c>
      <c r="K83" s="4">
        <f t="shared" si="3"/>
        <v>0</v>
      </c>
      <c r="O83" s="3">
        <f t="shared" si="4"/>
        <v>0</v>
      </c>
    </row>
    <row r="84" spans="1:15" ht="13.5" customHeight="1">
      <c r="A84" s="32" t="s">
        <v>19</v>
      </c>
      <c r="B84" s="33" t="s">
        <v>68</v>
      </c>
      <c r="C84" s="33"/>
      <c r="D84" s="34">
        <v>252</v>
      </c>
      <c r="E84" s="7">
        <f>H84+I84</f>
        <v>0</v>
      </c>
      <c r="F84" s="7"/>
      <c r="G84" s="7">
        <v>0</v>
      </c>
      <c r="J84" s="3">
        <f>E84-G84</f>
        <v>0</v>
      </c>
      <c r="K84" s="4">
        <f t="shared" si="3"/>
        <v>0</v>
      </c>
      <c r="O84" s="3">
        <f t="shared" si="4"/>
        <v>0</v>
      </c>
    </row>
    <row r="85" spans="1:15" ht="13.5" customHeight="1">
      <c r="A85" s="32" t="s">
        <v>29</v>
      </c>
      <c r="B85" s="33" t="s">
        <v>69</v>
      </c>
      <c r="C85" s="33"/>
      <c r="D85" s="34">
        <v>258</v>
      </c>
      <c r="E85" s="7">
        <f>H85+I85</f>
        <v>0</v>
      </c>
      <c r="F85" s="7"/>
      <c r="G85" s="7">
        <v>0</v>
      </c>
      <c r="J85" s="3">
        <f>E85-G85</f>
        <v>0</v>
      </c>
      <c r="K85" s="4">
        <f t="shared" si="3"/>
        <v>0</v>
      </c>
      <c r="O85" s="3">
        <f t="shared" si="4"/>
        <v>0</v>
      </c>
    </row>
    <row r="86" spans="1:15" ht="13.5" customHeight="1">
      <c r="A86" s="32" t="s">
        <v>31</v>
      </c>
      <c r="B86" s="33" t="s">
        <v>70</v>
      </c>
      <c r="C86" s="33"/>
      <c r="D86" s="34">
        <v>259</v>
      </c>
      <c r="E86" s="7">
        <f>H86+I86</f>
        <v>0</v>
      </c>
      <c r="F86" s="7"/>
      <c r="G86" s="7">
        <v>0</v>
      </c>
      <c r="J86" s="3">
        <f>E86-G86</f>
        <v>0</v>
      </c>
      <c r="K86" s="4">
        <f t="shared" si="3"/>
        <v>0</v>
      </c>
      <c r="O86" s="3">
        <f t="shared" si="4"/>
        <v>0</v>
      </c>
    </row>
    <row r="87" spans="1:15" ht="13.5" customHeight="1">
      <c r="A87" s="33"/>
      <c r="B87" s="33"/>
      <c r="C87" s="33"/>
      <c r="D87" s="34"/>
      <c r="E87" s="7"/>
      <c r="F87" s="7"/>
      <c r="G87" s="7"/>
      <c r="O87" s="3">
        <f t="shared" si="4"/>
        <v>0</v>
      </c>
    </row>
    <row r="88" spans="1:15" ht="13.5" customHeight="1">
      <c r="A88" s="28" t="s">
        <v>41</v>
      </c>
      <c r="B88" s="28" t="s">
        <v>71</v>
      </c>
      <c r="C88" s="28"/>
      <c r="D88" s="29">
        <v>260</v>
      </c>
      <c r="E88" s="30">
        <f>SUM(E89:E91)</f>
        <v>470270511</v>
      </c>
      <c r="F88" s="30"/>
      <c r="G88" s="30">
        <v>472693248</v>
      </c>
      <c r="H88" s="30">
        <f>SUM(H89:H91)</f>
        <v>3650366</v>
      </c>
      <c r="I88" s="30">
        <f>SUM(I89:I91)</f>
        <v>469042882</v>
      </c>
      <c r="J88" s="30">
        <f>SUM(J89:J91)</f>
        <v>-2422737</v>
      </c>
      <c r="K88" s="4">
        <f t="shared" si="3"/>
        <v>-0.005125389478802117</v>
      </c>
      <c r="O88" s="3"/>
    </row>
    <row r="89" spans="1:16" ht="13.5" customHeight="1">
      <c r="A89" s="32" t="s">
        <v>17</v>
      </c>
      <c r="B89" s="33" t="s">
        <v>72</v>
      </c>
      <c r="C89" s="33"/>
      <c r="D89" s="34">
        <v>261</v>
      </c>
      <c r="E89" s="7">
        <v>1227629</v>
      </c>
      <c r="F89" s="7"/>
      <c r="G89" s="7">
        <v>3650366</v>
      </c>
      <c r="H89" s="3">
        <v>3650366</v>
      </c>
      <c r="J89" s="3">
        <f>E89-G89</f>
        <v>-2422737</v>
      </c>
      <c r="K89" s="4">
        <f t="shared" si="3"/>
        <v>-0.6636970101080275</v>
      </c>
      <c r="O89" s="3">
        <f t="shared" si="4"/>
        <v>2422737</v>
      </c>
      <c r="P89" s="108" t="s">
        <v>187</v>
      </c>
    </row>
    <row r="90" spans="1:15" ht="13.5" customHeight="1">
      <c r="A90" s="32" t="s">
        <v>19</v>
      </c>
      <c r="B90" s="33" t="s">
        <v>73</v>
      </c>
      <c r="C90" s="33"/>
      <c r="D90" s="34">
        <v>262</v>
      </c>
      <c r="E90" s="7">
        <f>H90+I90</f>
        <v>469042882</v>
      </c>
      <c r="F90" s="7"/>
      <c r="G90" s="7">
        <v>469042882</v>
      </c>
      <c r="I90" s="3">
        <f>'[1]but toan dieu chinh'!E47</f>
        <v>469042882</v>
      </c>
      <c r="J90" s="3">
        <f>E90-G90</f>
        <v>0</v>
      </c>
      <c r="K90" s="4">
        <f t="shared" si="3"/>
        <v>0</v>
      </c>
      <c r="O90" s="3">
        <f t="shared" si="4"/>
        <v>0</v>
      </c>
    </row>
    <row r="91" spans="1:15" ht="13.5" customHeight="1">
      <c r="A91" s="32" t="s">
        <v>29</v>
      </c>
      <c r="B91" s="33" t="s">
        <v>71</v>
      </c>
      <c r="C91" s="33"/>
      <c r="D91" s="34">
        <v>268</v>
      </c>
      <c r="E91" s="7">
        <f>H91+I91</f>
        <v>0</v>
      </c>
      <c r="F91" s="7"/>
      <c r="G91" s="7">
        <v>0</v>
      </c>
      <c r="H91" s="7">
        <v>0</v>
      </c>
      <c r="J91" s="3">
        <f>E91-G91</f>
        <v>0</v>
      </c>
      <c r="K91" s="4">
        <f t="shared" si="3"/>
        <v>0</v>
      </c>
      <c r="O91" s="3">
        <f t="shared" si="4"/>
        <v>0</v>
      </c>
    </row>
    <row r="92" spans="1:15" ht="13.5" customHeight="1">
      <c r="A92" s="33"/>
      <c r="B92" s="33"/>
      <c r="C92" s="33"/>
      <c r="D92" s="34"/>
      <c r="E92" s="7"/>
      <c r="F92" s="7"/>
      <c r="G92" s="7"/>
      <c r="O92" s="3">
        <f t="shared" si="4"/>
        <v>0</v>
      </c>
    </row>
    <row r="93" spans="1:15" ht="18.75" customHeight="1" thickBot="1">
      <c r="A93" s="49"/>
      <c r="B93" s="49" t="s">
        <v>74</v>
      </c>
      <c r="C93" s="49"/>
      <c r="D93" s="50">
        <v>270</v>
      </c>
      <c r="E93" s="51">
        <f>E13+E57</f>
        <v>755909457160</v>
      </c>
      <c r="F93" s="52"/>
      <c r="G93" s="51">
        <f>G13+G57</f>
        <v>740306484903</v>
      </c>
      <c r="H93" s="51">
        <f>H13+H57</f>
        <v>738780551113</v>
      </c>
      <c r="I93" s="51">
        <f>I13+I57</f>
        <v>1525933790</v>
      </c>
      <c r="J93" s="51">
        <f>J13+J57</f>
        <v>15602972257</v>
      </c>
      <c r="K93" s="4">
        <f t="shared" si="3"/>
        <v>0.0210763684706131</v>
      </c>
      <c r="O93" s="3">
        <f t="shared" si="4"/>
        <v>-15602972257</v>
      </c>
    </row>
    <row r="94" spans="1:10" ht="13.5" customHeight="1" thickTop="1">
      <c r="A94" s="49"/>
      <c r="B94" s="49"/>
      <c r="C94" s="49"/>
      <c r="D94" s="50"/>
      <c r="E94" s="52"/>
      <c r="F94" s="52"/>
      <c r="G94" s="52"/>
      <c r="H94" s="52"/>
      <c r="I94" s="52"/>
      <c r="J94" s="52"/>
    </row>
    <row r="95" spans="1:10" ht="13.5" customHeight="1">
      <c r="A95" s="49"/>
      <c r="B95" s="49"/>
      <c r="C95" s="49"/>
      <c r="D95" s="50"/>
      <c r="E95" s="52"/>
      <c r="F95" s="52"/>
      <c r="G95" s="52"/>
      <c r="H95" s="52"/>
      <c r="I95" s="52"/>
      <c r="J95" s="52"/>
    </row>
    <row r="96" spans="1:10" ht="13.5" customHeight="1">
      <c r="A96" s="49"/>
      <c r="B96" s="49"/>
      <c r="C96" s="49"/>
      <c r="D96" s="50"/>
      <c r="E96" s="52"/>
      <c r="F96" s="52"/>
      <c r="G96" s="52"/>
      <c r="H96" s="52"/>
      <c r="I96" s="52"/>
      <c r="J96" s="52"/>
    </row>
    <row r="97" spans="1:10" ht="13.5" customHeight="1">
      <c r="A97" s="49"/>
      <c r="B97" s="49"/>
      <c r="C97" s="49"/>
      <c r="D97" s="50"/>
      <c r="E97" s="52"/>
      <c r="F97" s="52"/>
      <c r="G97" s="52"/>
      <c r="H97" s="52"/>
      <c r="I97" s="52"/>
      <c r="J97" s="52"/>
    </row>
    <row r="98" spans="1:10" ht="13.5" customHeight="1">
      <c r="A98" s="49"/>
      <c r="B98" s="49"/>
      <c r="C98" s="49"/>
      <c r="D98" s="50"/>
      <c r="E98" s="52"/>
      <c r="F98" s="52"/>
      <c r="G98" s="52"/>
      <c r="H98" s="52"/>
      <c r="I98" s="52"/>
      <c r="J98" s="52"/>
    </row>
    <row r="99" spans="1:10" ht="13.5" customHeight="1">
      <c r="A99" s="49"/>
      <c r="B99" s="49"/>
      <c r="C99" s="49"/>
      <c r="D99" s="50"/>
      <c r="E99" s="52"/>
      <c r="F99" s="52"/>
      <c r="G99" s="52"/>
      <c r="H99" s="52"/>
      <c r="I99" s="52"/>
      <c r="J99" s="52"/>
    </row>
    <row r="100" ht="13.5" customHeight="1">
      <c r="D100" s="41"/>
    </row>
    <row r="101" ht="13.5" customHeight="1">
      <c r="D101" s="41"/>
    </row>
    <row r="102" ht="13.5" customHeight="1">
      <c r="D102" s="41"/>
    </row>
    <row r="103" spans="1:11" s="2" customFormat="1" ht="13.5" customHeight="1">
      <c r="A103" s="36" t="s">
        <v>182</v>
      </c>
      <c r="B103" s="36"/>
      <c r="C103" s="36"/>
      <c r="D103" s="36"/>
      <c r="E103" s="36"/>
      <c r="F103" s="36"/>
      <c r="G103" s="36"/>
      <c r="H103" s="7"/>
      <c r="I103" s="3"/>
      <c r="J103" s="3"/>
      <c r="K103" s="4"/>
    </row>
    <row r="104" spans="1:7" ht="13.5" customHeight="1" thickBot="1">
      <c r="A104" s="37" t="s">
        <v>47</v>
      </c>
      <c r="B104" s="38"/>
      <c r="C104" s="38"/>
      <c r="D104" s="39"/>
      <c r="E104" s="40"/>
      <c r="F104" s="40"/>
      <c r="G104" s="40"/>
    </row>
    <row r="105" ht="13.5" customHeight="1">
      <c r="D105" s="41"/>
    </row>
    <row r="106" spans="1:7" ht="27.75" customHeight="1">
      <c r="A106" s="20" t="s">
        <v>75</v>
      </c>
      <c r="B106" s="21"/>
      <c r="C106" s="21"/>
      <c r="D106" s="22" t="s">
        <v>6</v>
      </c>
      <c r="E106" s="23" t="s">
        <v>7</v>
      </c>
      <c r="F106" s="24"/>
      <c r="G106" s="23" t="s">
        <v>8</v>
      </c>
    </row>
    <row r="107" spans="1:7" ht="13.5" customHeight="1">
      <c r="A107" s="28"/>
      <c r="B107" s="28"/>
      <c r="C107" s="28"/>
      <c r="D107" s="29"/>
      <c r="E107" s="30"/>
      <c r="F107" s="30"/>
      <c r="G107" s="30"/>
    </row>
    <row r="108" spans="1:15" ht="13.5" customHeight="1">
      <c r="A108" s="28" t="s">
        <v>13</v>
      </c>
      <c r="B108" s="28" t="s">
        <v>76</v>
      </c>
      <c r="C108" s="28"/>
      <c r="D108" s="29">
        <v>300</v>
      </c>
      <c r="E108" s="30">
        <f>E110+E122</f>
        <v>668684463833</v>
      </c>
      <c r="F108" s="30"/>
      <c r="G108" s="30">
        <f>G110+G122</f>
        <v>676668380935</v>
      </c>
      <c r="H108" s="30">
        <f>H110+H122</f>
        <v>670804542313</v>
      </c>
      <c r="I108" s="30">
        <f>I110+I122</f>
        <v>5863838622</v>
      </c>
      <c r="J108" s="30">
        <f>J110+J122</f>
        <v>-7983917102</v>
      </c>
      <c r="K108" s="4">
        <f>IF(J108=0,0%,IF(G108=0,100%,J108/G108))</f>
        <v>-0.011798862377710133</v>
      </c>
      <c r="O108" s="3"/>
    </row>
    <row r="109" spans="1:15" ht="13.5" customHeight="1">
      <c r="A109" s="28"/>
      <c r="B109" s="28"/>
      <c r="C109" s="28"/>
      <c r="D109" s="29"/>
      <c r="E109" s="30"/>
      <c r="F109" s="30"/>
      <c r="G109" s="30"/>
      <c r="O109" s="3">
        <f aca="true" t="shared" si="5" ref="O109:O151">E109-G109</f>
        <v>0</v>
      </c>
    </row>
    <row r="110" spans="1:15" ht="13.5" customHeight="1">
      <c r="A110" s="28" t="s">
        <v>15</v>
      </c>
      <c r="B110" s="28" t="s">
        <v>77</v>
      </c>
      <c r="C110" s="28"/>
      <c r="D110" s="29">
        <v>310</v>
      </c>
      <c r="E110" s="30">
        <f>SUM(E111:E120)</f>
        <v>156633770928</v>
      </c>
      <c r="F110" s="30"/>
      <c r="G110" s="30">
        <v>279911037396</v>
      </c>
      <c r="H110" s="30">
        <f>SUM(H111:H120)</f>
        <v>153105210751</v>
      </c>
      <c r="I110" s="30">
        <f>SUM(I111:I120)</f>
        <v>126805826645</v>
      </c>
      <c r="J110" s="30">
        <f>SUM(J111:J120)</f>
        <v>-123277266468</v>
      </c>
      <c r="K110" s="4">
        <f aca="true" t="shared" si="6" ref="K110:K120">IF(J110=0,0%,IF(G110=0,100%,J110/G110))</f>
        <v>-0.44041588218472183</v>
      </c>
      <c r="O110" s="3"/>
    </row>
    <row r="111" spans="1:15" ht="13.5" customHeight="1">
      <c r="A111" s="32" t="s">
        <v>17</v>
      </c>
      <c r="B111" s="33" t="s">
        <v>78</v>
      </c>
      <c r="C111" s="33"/>
      <c r="D111" s="34">
        <v>311</v>
      </c>
      <c r="E111" s="7">
        <v>72237102593</v>
      </c>
      <c r="F111" s="7"/>
      <c r="G111" s="7">
        <v>218467935646</v>
      </c>
      <c r="H111" s="3">
        <v>93428676109</v>
      </c>
      <c r="I111" s="3">
        <f>'[1]but toan dieu chinh'!F16+'[1]but toan dieu chinh'!F25</f>
        <v>125039259537</v>
      </c>
      <c r="J111" s="3">
        <f aca="true" t="shared" si="7" ref="J111:J120">E111-G111</f>
        <v>-146230833053</v>
      </c>
      <c r="K111" s="4">
        <f t="shared" si="6"/>
        <v>-0.6693468889180553</v>
      </c>
      <c r="O111" s="3">
        <f t="shared" si="5"/>
        <v>-146230833053</v>
      </c>
    </row>
    <row r="112" spans="1:16" ht="13.5" customHeight="1">
      <c r="A112" s="32" t="s">
        <v>19</v>
      </c>
      <c r="B112" s="33" t="s">
        <v>79</v>
      </c>
      <c r="C112" s="33"/>
      <c r="D112" s="34">
        <v>312</v>
      </c>
      <c r="E112" s="7">
        <v>23966076158</v>
      </c>
      <c r="F112" s="7"/>
      <c r="G112" s="7">
        <v>21109030344</v>
      </c>
      <c r="H112" s="3">
        <v>21109030344</v>
      </c>
      <c r="J112" s="3">
        <f t="shared" si="7"/>
        <v>2857045814</v>
      </c>
      <c r="K112" s="4">
        <f t="shared" si="6"/>
        <v>0.1353470892523532</v>
      </c>
      <c r="L112" s="53"/>
      <c r="O112" s="3">
        <f t="shared" si="5"/>
        <v>2857045814</v>
      </c>
      <c r="P112" s="108" t="s">
        <v>187</v>
      </c>
    </row>
    <row r="113" spans="1:16" ht="13.5" customHeight="1">
      <c r="A113" s="32" t="s">
        <v>29</v>
      </c>
      <c r="B113" s="33" t="s">
        <v>80</v>
      </c>
      <c r="C113" s="33"/>
      <c r="D113" s="34">
        <v>313</v>
      </c>
      <c r="E113" s="7">
        <v>245447001</v>
      </c>
      <c r="F113" s="7"/>
      <c r="G113" s="7">
        <v>124338309</v>
      </c>
      <c r="H113" s="3">
        <v>124338309</v>
      </c>
      <c r="J113" s="3">
        <f t="shared" si="7"/>
        <v>121108692</v>
      </c>
      <c r="K113" s="4">
        <f t="shared" si="6"/>
        <v>0.9740255676148852</v>
      </c>
      <c r="O113" s="3">
        <f t="shared" si="5"/>
        <v>121108692</v>
      </c>
      <c r="P113" s="108" t="s">
        <v>187</v>
      </c>
    </row>
    <row r="114" spans="1:16" ht="13.5" customHeight="1">
      <c r="A114" s="32" t="s">
        <v>31</v>
      </c>
      <c r="B114" s="33" t="s">
        <v>81</v>
      </c>
      <c r="C114" s="33"/>
      <c r="D114" s="34">
        <v>314</v>
      </c>
      <c r="E114" s="7">
        <f>346388591+6277522288+336003984</f>
        <v>6959914863</v>
      </c>
      <c r="F114" s="7"/>
      <c r="G114" s="7">
        <v>7336268484</v>
      </c>
      <c r="H114" s="3">
        <v>5242812713</v>
      </c>
      <c r="I114" s="3">
        <f>'[1]but toan dieu chinh'!F45</f>
        <v>2093455771</v>
      </c>
      <c r="J114" s="3">
        <f t="shared" si="7"/>
        <v>-376353621</v>
      </c>
      <c r="K114" s="4">
        <f t="shared" si="6"/>
        <v>-0.051300415438830606</v>
      </c>
      <c r="O114" s="3">
        <f t="shared" si="5"/>
        <v>-376353621</v>
      </c>
      <c r="P114" s="108" t="s">
        <v>187</v>
      </c>
    </row>
    <row r="115" spans="1:16" ht="13.5" customHeight="1">
      <c r="A115" s="32" t="s">
        <v>33</v>
      </c>
      <c r="B115" s="33" t="s">
        <v>82</v>
      </c>
      <c r="C115" s="33"/>
      <c r="D115" s="34">
        <v>315</v>
      </c>
      <c r="E115" s="7">
        <f>1137601174+646688986</f>
        <v>1784290160</v>
      </c>
      <c r="F115" s="7"/>
      <c r="G115" s="7">
        <v>6053896480</v>
      </c>
      <c r="H115" s="3">
        <v>2219600389</v>
      </c>
      <c r="I115" s="3">
        <f>'[1]but toan dieu chinh'!F28</f>
        <v>3834296091</v>
      </c>
      <c r="J115" s="3">
        <f t="shared" si="7"/>
        <v>-4269606320</v>
      </c>
      <c r="K115" s="4">
        <f t="shared" si="6"/>
        <v>-0.7052658290582464</v>
      </c>
      <c r="O115" s="3">
        <f t="shared" si="5"/>
        <v>-4269606320</v>
      </c>
      <c r="P115" s="108" t="s">
        <v>187</v>
      </c>
    </row>
    <row r="116" spans="1:16" ht="13.5" customHeight="1">
      <c r="A116" s="32" t="s">
        <v>36</v>
      </c>
      <c r="B116" s="33" t="s">
        <v>83</v>
      </c>
      <c r="C116" s="33"/>
      <c r="D116" s="34">
        <v>316</v>
      </c>
      <c r="E116" s="7">
        <f>33253846453+4716152659</f>
        <v>37969999112</v>
      </c>
      <c r="F116" s="7"/>
      <c r="G116" s="7">
        <v>23973694803</v>
      </c>
      <c r="H116" s="3">
        <v>24211568304</v>
      </c>
      <c r="I116" s="3">
        <f>-'[1]but toan dieu chinh'!E12+'[1]but toan dieu chinh'!F31</f>
        <v>-237873501</v>
      </c>
      <c r="J116" s="3">
        <f t="shared" si="7"/>
        <v>13996304309</v>
      </c>
      <c r="K116" s="4">
        <f t="shared" si="6"/>
        <v>0.5838192412146893</v>
      </c>
      <c r="O116" s="3">
        <f t="shared" si="5"/>
        <v>13996304309</v>
      </c>
      <c r="P116" s="108" t="s">
        <v>187</v>
      </c>
    </row>
    <row r="117" spans="1:15" ht="13.5" customHeight="1">
      <c r="A117" s="32" t="s">
        <v>84</v>
      </c>
      <c r="B117" s="33" t="s">
        <v>85</v>
      </c>
      <c r="C117" s="33"/>
      <c r="D117" s="34">
        <v>317</v>
      </c>
      <c r="E117" s="7">
        <f>H117+I117</f>
        <v>0</v>
      </c>
      <c r="F117" s="7"/>
      <c r="G117" s="7">
        <v>0</v>
      </c>
      <c r="J117" s="3">
        <f t="shared" si="7"/>
        <v>0</v>
      </c>
      <c r="K117" s="4">
        <f t="shared" si="6"/>
        <v>0</v>
      </c>
      <c r="O117" s="3">
        <f t="shared" si="5"/>
        <v>0</v>
      </c>
    </row>
    <row r="118" spans="1:15" ht="13.5" customHeight="1">
      <c r="A118" s="32" t="s">
        <v>86</v>
      </c>
      <c r="B118" s="33" t="s">
        <v>87</v>
      </c>
      <c r="C118" s="33"/>
      <c r="D118" s="34">
        <v>318</v>
      </c>
      <c r="E118" s="7">
        <f>H118+I118</f>
        <v>0</v>
      </c>
      <c r="F118" s="7"/>
      <c r="G118" s="7">
        <v>0</v>
      </c>
      <c r="J118" s="3">
        <f t="shared" si="7"/>
        <v>0</v>
      </c>
      <c r="K118" s="4">
        <f t="shared" si="6"/>
        <v>0</v>
      </c>
      <c r="O118" s="3">
        <f t="shared" si="5"/>
        <v>0</v>
      </c>
    </row>
    <row r="119" spans="1:16" ht="13.5" customHeight="1">
      <c r="A119" s="32" t="s">
        <v>88</v>
      </c>
      <c r="B119" s="33" t="s">
        <v>89</v>
      </c>
      <c r="C119" s="33"/>
      <c r="D119" s="34">
        <v>319</v>
      </c>
      <c r="E119" s="7">
        <f>261597820+206909940+12809193119+193240162</f>
        <v>13470941041</v>
      </c>
      <c r="F119" s="7"/>
      <c r="G119" s="7">
        <v>2845873330</v>
      </c>
      <c r="H119" s="3">
        <v>6769184583</v>
      </c>
      <c r="I119" s="3">
        <f>-'[1]but toan dieu chinh'!E15-'[1]but toan dieu chinh'!E27</f>
        <v>-3923311253</v>
      </c>
      <c r="J119" s="3">
        <f t="shared" si="7"/>
        <v>10625067711</v>
      </c>
      <c r="K119" s="4">
        <f t="shared" si="6"/>
        <v>3.7334998711977105</v>
      </c>
      <c r="M119" s="3"/>
      <c r="O119" s="3">
        <f t="shared" si="5"/>
        <v>10625067711</v>
      </c>
      <c r="P119" s="108" t="s">
        <v>187</v>
      </c>
    </row>
    <row r="120" spans="1:15" ht="13.5" customHeight="1">
      <c r="A120" s="33" t="s">
        <v>90</v>
      </c>
      <c r="B120" s="33" t="s">
        <v>91</v>
      </c>
      <c r="C120" s="33"/>
      <c r="D120" s="34" t="s">
        <v>92</v>
      </c>
      <c r="E120" s="7">
        <f>H120+I120</f>
        <v>0</v>
      </c>
      <c r="F120" s="7"/>
      <c r="G120" s="7">
        <v>0</v>
      </c>
      <c r="J120" s="3">
        <f t="shared" si="7"/>
        <v>0</v>
      </c>
      <c r="K120" s="4">
        <f t="shared" si="6"/>
        <v>0</v>
      </c>
      <c r="O120" s="3">
        <f t="shared" si="5"/>
        <v>0</v>
      </c>
    </row>
    <row r="121" spans="1:15" ht="13.5" customHeight="1">
      <c r="A121" s="32"/>
      <c r="B121" s="33"/>
      <c r="C121" s="33"/>
      <c r="D121" s="34"/>
      <c r="E121" s="7"/>
      <c r="F121" s="7"/>
      <c r="G121" s="7"/>
      <c r="O121" s="3">
        <f t="shared" si="5"/>
        <v>0</v>
      </c>
    </row>
    <row r="122" spans="1:15" ht="13.5" customHeight="1">
      <c r="A122" s="28" t="s">
        <v>21</v>
      </c>
      <c r="B122" s="28" t="s">
        <v>93</v>
      </c>
      <c r="C122" s="28"/>
      <c r="D122" s="29" t="s">
        <v>94</v>
      </c>
      <c r="E122" s="30">
        <f>SUM(E123:E129)</f>
        <v>512050692905</v>
      </c>
      <c r="F122" s="30"/>
      <c r="G122" s="30">
        <v>396757343539</v>
      </c>
      <c r="H122" s="30">
        <f>SUM(H123:H129)</f>
        <v>517699331562</v>
      </c>
      <c r="I122" s="30">
        <f>SUM(I123:I129)</f>
        <v>-120941988023</v>
      </c>
      <c r="J122" s="30">
        <f>SUM(J123:J129)</f>
        <v>115293349366</v>
      </c>
      <c r="K122" s="4">
        <f aca="true" t="shared" si="8" ref="K122:K129">IF(J122=0,0%,IF(G122=0,100%,J122/G122))</f>
        <v>0.2905890747669728</v>
      </c>
      <c r="O122" s="3"/>
    </row>
    <row r="123" spans="1:15" ht="13.5" customHeight="1">
      <c r="A123" s="32" t="s">
        <v>17</v>
      </c>
      <c r="B123" s="33" t="s">
        <v>95</v>
      </c>
      <c r="C123" s="33"/>
      <c r="D123" s="34" t="s">
        <v>96</v>
      </c>
      <c r="E123" s="7">
        <f aca="true" t="shared" si="9" ref="E123:E129">H123+I123</f>
        <v>0</v>
      </c>
      <c r="F123" s="7"/>
      <c r="G123" s="7">
        <v>0</v>
      </c>
      <c r="J123" s="3">
        <f aca="true" t="shared" si="10" ref="J123:J129">E123-G123</f>
        <v>0</v>
      </c>
      <c r="K123" s="4">
        <f t="shared" si="8"/>
        <v>0</v>
      </c>
      <c r="O123" s="3">
        <f t="shared" si="5"/>
        <v>0</v>
      </c>
    </row>
    <row r="124" spans="1:15" ht="13.5" customHeight="1">
      <c r="A124" s="32" t="s">
        <v>19</v>
      </c>
      <c r="B124" s="33" t="s">
        <v>97</v>
      </c>
      <c r="C124" s="33"/>
      <c r="D124" s="34" t="s">
        <v>98</v>
      </c>
      <c r="E124" s="7">
        <f t="shared" si="9"/>
        <v>0</v>
      </c>
      <c r="F124" s="7"/>
      <c r="G124" s="7">
        <v>0</v>
      </c>
      <c r="J124" s="3">
        <f t="shared" si="10"/>
        <v>0</v>
      </c>
      <c r="K124" s="4">
        <f t="shared" si="8"/>
        <v>0</v>
      </c>
      <c r="O124" s="3">
        <f t="shared" si="5"/>
        <v>0</v>
      </c>
    </row>
    <row r="125" spans="1:15" ht="13.5" customHeight="1">
      <c r="A125" s="32" t="s">
        <v>29</v>
      </c>
      <c r="B125" s="33" t="s">
        <v>99</v>
      </c>
      <c r="C125" s="33"/>
      <c r="D125" s="34" t="s">
        <v>100</v>
      </c>
      <c r="E125" s="7">
        <f t="shared" si="9"/>
        <v>30000000000</v>
      </c>
      <c r="F125" s="7"/>
      <c r="G125" s="7">
        <v>30000000000</v>
      </c>
      <c r="H125" s="3">
        <v>30000000000</v>
      </c>
      <c r="J125" s="3">
        <f t="shared" si="10"/>
        <v>0</v>
      </c>
      <c r="K125" s="4">
        <f t="shared" si="8"/>
        <v>0</v>
      </c>
      <c r="O125" s="3">
        <f t="shared" si="5"/>
        <v>0</v>
      </c>
    </row>
    <row r="126" spans="1:15" ht="13.5" customHeight="1">
      <c r="A126" s="32" t="s">
        <v>31</v>
      </c>
      <c r="B126" s="33" t="s">
        <v>101</v>
      </c>
      <c r="C126" s="33"/>
      <c r="D126" s="34" t="s">
        <v>102</v>
      </c>
      <c r="E126" s="7">
        <f>470789625143+11256984141</f>
        <v>482046609284</v>
      </c>
      <c r="F126" s="7"/>
      <c r="G126" s="7">
        <v>366723885943</v>
      </c>
      <c r="H126" s="7">
        <v>487699331562</v>
      </c>
      <c r="I126" s="3">
        <f>'[1]but toan dieu chinh'!F22-'[1]but toan dieu chinh'!E24</f>
        <v>-120975445619</v>
      </c>
      <c r="J126" s="3">
        <f t="shared" si="10"/>
        <v>115322723341</v>
      </c>
      <c r="K126" s="4">
        <f t="shared" si="8"/>
        <v>0.31446744474922106</v>
      </c>
      <c r="O126" s="3">
        <f t="shared" si="5"/>
        <v>115322723341</v>
      </c>
    </row>
    <row r="127" spans="1:15" ht="13.5" customHeight="1">
      <c r="A127" s="32" t="s">
        <v>33</v>
      </c>
      <c r="B127" s="33" t="s">
        <v>103</v>
      </c>
      <c r="C127" s="33"/>
      <c r="D127" s="34" t="s">
        <v>104</v>
      </c>
      <c r="E127" s="7">
        <f t="shared" si="9"/>
        <v>0</v>
      </c>
      <c r="F127" s="7"/>
      <c r="G127" s="7">
        <v>0</v>
      </c>
      <c r="J127" s="3">
        <f t="shared" si="10"/>
        <v>0</v>
      </c>
      <c r="K127" s="4">
        <f t="shared" si="8"/>
        <v>0</v>
      </c>
      <c r="O127" s="3">
        <f t="shared" si="5"/>
        <v>0</v>
      </c>
    </row>
    <row r="128" spans="1:15" ht="13.5" customHeight="1">
      <c r="A128" s="33" t="s">
        <v>36</v>
      </c>
      <c r="B128" s="33" t="s">
        <v>105</v>
      </c>
      <c r="C128" s="33"/>
      <c r="D128" s="34" t="s">
        <v>106</v>
      </c>
      <c r="E128" s="7">
        <v>4083621</v>
      </c>
      <c r="F128" s="7"/>
      <c r="G128" s="7">
        <v>33457596</v>
      </c>
      <c r="I128" s="3">
        <f>'[1]but toan dieu chinh'!F13</f>
        <v>33457596</v>
      </c>
      <c r="J128" s="3">
        <f t="shared" si="10"/>
        <v>-29373975</v>
      </c>
      <c r="K128" s="4">
        <f t="shared" si="8"/>
        <v>-0.8779463712814274</v>
      </c>
      <c r="O128" s="3">
        <f t="shared" si="5"/>
        <v>-29373975</v>
      </c>
    </row>
    <row r="129" spans="1:15" ht="13.5" customHeight="1">
      <c r="A129" s="33" t="s">
        <v>84</v>
      </c>
      <c r="B129" s="33" t="s">
        <v>107</v>
      </c>
      <c r="C129" s="33"/>
      <c r="D129" s="34" t="s">
        <v>108</v>
      </c>
      <c r="E129" s="7">
        <f t="shared" si="9"/>
        <v>0</v>
      </c>
      <c r="F129" s="7"/>
      <c r="G129" s="7">
        <v>0</v>
      </c>
      <c r="J129" s="3">
        <f t="shared" si="10"/>
        <v>0</v>
      </c>
      <c r="K129" s="4">
        <f t="shared" si="8"/>
        <v>0</v>
      </c>
      <c r="O129" s="3">
        <f t="shared" si="5"/>
        <v>0</v>
      </c>
    </row>
    <row r="130" spans="1:15" ht="13.5" customHeight="1">
      <c r="A130" s="32"/>
      <c r="B130" s="33"/>
      <c r="C130" s="33"/>
      <c r="D130" s="34"/>
      <c r="E130" s="7"/>
      <c r="F130" s="7"/>
      <c r="G130" s="7"/>
      <c r="O130" s="3">
        <f t="shared" si="5"/>
        <v>0</v>
      </c>
    </row>
    <row r="131" spans="1:15" ht="13.5" customHeight="1">
      <c r="A131" s="32"/>
      <c r="B131" s="33"/>
      <c r="C131" s="33"/>
      <c r="D131" s="34"/>
      <c r="E131" s="7"/>
      <c r="F131" s="7"/>
      <c r="G131" s="7"/>
      <c r="O131" s="3">
        <f t="shared" si="5"/>
        <v>0</v>
      </c>
    </row>
    <row r="132" spans="1:15" ht="13.5" customHeight="1">
      <c r="A132" s="28" t="s">
        <v>48</v>
      </c>
      <c r="B132" s="28" t="s">
        <v>109</v>
      </c>
      <c r="C132" s="28"/>
      <c r="D132" s="29">
        <v>400</v>
      </c>
      <c r="E132" s="30">
        <f>E134+E147</f>
        <v>87224993326.86</v>
      </c>
      <c r="F132" s="30"/>
      <c r="G132" s="30">
        <v>63638103968</v>
      </c>
      <c r="H132" s="30">
        <f>H134+H147</f>
        <v>67976008800</v>
      </c>
      <c r="I132" s="30">
        <f>I134+I147</f>
        <v>-4337904832</v>
      </c>
      <c r="J132" s="30">
        <f>J134+J147</f>
        <v>23586889358.86</v>
      </c>
      <c r="K132" s="4">
        <f>IF(J132=0,0%,IF(G132=0,100%,J132/G132))</f>
        <v>0.37064098218137537</v>
      </c>
      <c r="O132" s="3"/>
    </row>
    <row r="133" spans="1:15" ht="13.5" customHeight="1">
      <c r="A133" s="28"/>
      <c r="B133" s="28"/>
      <c r="C133" s="28"/>
      <c r="D133" s="29"/>
      <c r="E133" s="30"/>
      <c r="F133" s="30"/>
      <c r="G133" s="30"/>
      <c r="O133" s="3">
        <f t="shared" si="5"/>
        <v>0</v>
      </c>
    </row>
    <row r="134" spans="1:15" ht="13.5" customHeight="1">
      <c r="A134" s="28" t="s">
        <v>15</v>
      </c>
      <c r="B134" s="28" t="s">
        <v>110</v>
      </c>
      <c r="C134" s="28"/>
      <c r="D134" s="29">
        <v>410</v>
      </c>
      <c r="E134" s="30">
        <f>SUM(E135:E145)</f>
        <v>84724004308.86</v>
      </c>
      <c r="F134" s="30"/>
      <c r="G134" s="30">
        <v>61137114950</v>
      </c>
      <c r="H134" s="30">
        <f>SUM(H135:H145)</f>
        <v>68091771108</v>
      </c>
      <c r="I134" s="30">
        <f>SUM(I135:I145)</f>
        <v>-4337904832</v>
      </c>
      <c r="J134" s="30">
        <f>SUM(J135:J145)</f>
        <v>23586889358.86</v>
      </c>
      <c r="K134" s="4">
        <f aca="true" t="shared" si="11" ref="K134:K145">IF(J134=0,0%,IF(G134=0,100%,J134/G134))</f>
        <v>0.3858031144935471</v>
      </c>
      <c r="O134" s="3"/>
    </row>
    <row r="135" spans="1:15" ht="13.5" customHeight="1">
      <c r="A135" s="32" t="s">
        <v>17</v>
      </c>
      <c r="B135" s="33" t="s">
        <v>111</v>
      </c>
      <c r="C135" s="33"/>
      <c r="D135" s="34">
        <v>411</v>
      </c>
      <c r="E135" s="7">
        <f aca="true" t="shared" si="12" ref="E135:E145">H135+I135</f>
        <v>40000000000</v>
      </c>
      <c r="F135" s="7"/>
      <c r="G135" s="3">
        <v>40000000000</v>
      </c>
      <c r="H135" s="3">
        <v>40000000000</v>
      </c>
      <c r="J135" s="3">
        <f aca="true" t="shared" si="13" ref="J135:J145">E135-G135</f>
        <v>0</v>
      </c>
      <c r="K135" s="4">
        <f t="shared" si="11"/>
        <v>0</v>
      </c>
      <c r="O135" s="3">
        <f t="shared" si="5"/>
        <v>0</v>
      </c>
    </row>
    <row r="136" spans="1:15" ht="13.5" customHeight="1">
      <c r="A136" s="32" t="s">
        <v>19</v>
      </c>
      <c r="B136" s="33" t="s">
        <v>112</v>
      </c>
      <c r="C136" s="33"/>
      <c r="D136" s="34">
        <v>412</v>
      </c>
      <c r="E136" s="7">
        <f t="shared" si="12"/>
        <v>0</v>
      </c>
      <c r="F136" s="7"/>
      <c r="G136" s="7">
        <v>0</v>
      </c>
      <c r="J136" s="3">
        <f t="shared" si="13"/>
        <v>0</v>
      </c>
      <c r="K136" s="4">
        <f t="shared" si="11"/>
        <v>0</v>
      </c>
      <c r="O136" s="3">
        <f t="shared" si="5"/>
        <v>0</v>
      </c>
    </row>
    <row r="137" spans="1:15" ht="13.5" customHeight="1">
      <c r="A137" s="32" t="s">
        <v>29</v>
      </c>
      <c r="B137" s="33" t="s">
        <v>113</v>
      </c>
      <c r="C137" s="33"/>
      <c r="D137" s="34">
        <v>413</v>
      </c>
      <c r="E137" s="7">
        <f t="shared" si="12"/>
        <v>0</v>
      </c>
      <c r="F137" s="7"/>
      <c r="G137" s="7">
        <v>0</v>
      </c>
      <c r="J137" s="3">
        <f t="shared" si="13"/>
        <v>0</v>
      </c>
      <c r="K137" s="4">
        <f t="shared" si="11"/>
        <v>0</v>
      </c>
      <c r="O137" s="3">
        <f t="shared" si="5"/>
        <v>0</v>
      </c>
    </row>
    <row r="138" spans="1:15" ht="13.5" customHeight="1">
      <c r="A138" s="32" t="s">
        <v>31</v>
      </c>
      <c r="B138" s="33" t="s">
        <v>114</v>
      </c>
      <c r="C138" s="33"/>
      <c r="D138" s="34">
        <v>414</v>
      </c>
      <c r="E138" s="7">
        <f t="shared" si="12"/>
        <v>0</v>
      </c>
      <c r="F138" s="7"/>
      <c r="G138" s="7">
        <v>0</v>
      </c>
      <c r="J138" s="3">
        <f t="shared" si="13"/>
        <v>0</v>
      </c>
      <c r="K138" s="4">
        <f t="shared" si="11"/>
        <v>0</v>
      </c>
      <c r="O138" s="3">
        <f t="shared" si="5"/>
        <v>0</v>
      </c>
    </row>
    <row r="139" spans="1:15" ht="13.5" customHeight="1">
      <c r="A139" s="32" t="s">
        <v>33</v>
      </c>
      <c r="B139" s="33" t="s">
        <v>115</v>
      </c>
      <c r="C139" s="33"/>
      <c r="D139" s="34">
        <v>415</v>
      </c>
      <c r="E139" s="7">
        <f t="shared" si="12"/>
        <v>0</v>
      </c>
      <c r="F139" s="7"/>
      <c r="G139" s="7">
        <v>0</v>
      </c>
      <c r="J139" s="3">
        <f t="shared" si="13"/>
        <v>0</v>
      </c>
      <c r="K139" s="4">
        <f t="shared" si="11"/>
        <v>0</v>
      </c>
      <c r="O139" s="3">
        <f t="shared" si="5"/>
        <v>0</v>
      </c>
    </row>
    <row r="140" spans="1:15" ht="13.5" customHeight="1">
      <c r="A140" s="32" t="s">
        <v>36</v>
      </c>
      <c r="B140" s="33" t="s">
        <v>116</v>
      </c>
      <c r="C140" s="33"/>
      <c r="D140" s="34">
        <v>416</v>
      </c>
      <c r="E140" s="7">
        <v>0</v>
      </c>
      <c r="F140" s="7"/>
      <c r="G140" s="7">
        <v>0</v>
      </c>
      <c r="J140" s="3">
        <f t="shared" si="13"/>
        <v>0</v>
      </c>
      <c r="K140" s="4">
        <f t="shared" si="11"/>
        <v>0</v>
      </c>
      <c r="O140" s="3">
        <f t="shared" si="5"/>
        <v>0</v>
      </c>
    </row>
    <row r="141" spans="1:15" ht="13.5" customHeight="1">
      <c r="A141" s="32" t="s">
        <v>84</v>
      </c>
      <c r="B141" s="33" t="s">
        <v>117</v>
      </c>
      <c r="C141" s="33"/>
      <c r="D141" s="34">
        <v>417</v>
      </c>
      <c r="E141" s="7">
        <v>2246479338</v>
      </c>
      <c r="F141" s="7"/>
      <c r="G141" s="7">
        <v>2246479338</v>
      </c>
      <c r="H141" s="3">
        <v>501978454</v>
      </c>
      <c r="J141" s="3">
        <f t="shared" si="13"/>
        <v>0</v>
      </c>
      <c r="K141" s="4">
        <f t="shared" si="11"/>
        <v>0</v>
      </c>
      <c r="O141" s="3">
        <f t="shared" si="5"/>
        <v>0</v>
      </c>
    </row>
    <row r="142" spans="1:15" ht="13.5" customHeight="1">
      <c r="A142" s="32" t="s">
        <v>86</v>
      </c>
      <c r="B142" s="33" t="s">
        <v>118</v>
      </c>
      <c r="C142" s="33"/>
      <c r="D142" s="34">
        <v>418</v>
      </c>
      <c r="E142" s="7">
        <f>H142+I142+872250442</f>
        <v>1222639782</v>
      </c>
      <c r="F142" s="7"/>
      <c r="G142" s="7">
        <v>1222639782</v>
      </c>
      <c r="H142" s="3">
        <v>350389340</v>
      </c>
      <c r="J142" s="3">
        <f t="shared" si="13"/>
        <v>0</v>
      </c>
      <c r="K142" s="4">
        <f t="shared" si="11"/>
        <v>0</v>
      </c>
      <c r="O142" s="3">
        <f t="shared" si="5"/>
        <v>0</v>
      </c>
    </row>
    <row r="143" spans="1:15" ht="13.5" customHeight="1">
      <c r="A143" s="32" t="s">
        <v>88</v>
      </c>
      <c r="B143" s="33" t="s">
        <v>119</v>
      </c>
      <c r="C143" s="33"/>
      <c r="D143" s="34">
        <v>419</v>
      </c>
      <c r="E143" s="7">
        <f t="shared" si="12"/>
        <v>0</v>
      </c>
      <c r="F143" s="7"/>
      <c r="G143" s="7">
        <v>0</v>
      </c>
      <c r="J143" s="3">
        <f t="shared" si="13"/>
        <v>0</v>
      </c>
      <c r="K143" s="4">
        <f t="shared" si="11"/>
        <v>0</v>
      </c>
      <c r="O143" s="3">
        <f t="shared" si="5"/>
        <v>0</v>
      </c>
    </row>
    <row r="144" spans="1:16" ht="13.5" customHeight="1">
      <c r="A144" s="33" t="s">
        <v>90</v>
      </c>
      <c r="B144" s="33" t="s">
        <v>120</v>
      </c>
      <c r="C144" s="33"/>
      <c r="D144" s="34" t="s">
        <v>121</v>
      </c>
      <c r="E144" s="7">
        <f>G144+kqkd!E48+71</f>
        <v>41254885188.86</v>
      </c>
      <c r="F144" s="7"/>
      <c r="G144" s="7">
        <v>17667995830</v>
      </c>
      <c r="H144" s="3">
        <v>27239403314</v>
      </c>
      <c r="I144" s="3">
        <f>'[1]KQKD'!J47</f>
        <v>-4337904832</v>
      </c>
      <c r="J144" s="3">
        <f t="shared" si="13"/>
        <v>23586889358.86</v>
      </c>
      <c r="K144" s="4">
        <f t="shared" si="11"/>
        <v>1.3350065047451396</v>
      </c>
      <c r="O144" s="3">
        <f t="shared" si="5"/>
        <v>23586889358.86</v>
      </c>
      <c r="P144" s="3">
        <f>E144-G144-kqkd!E48-72</f>
        <v>-1</v>
      </c>
    </row>
    <row r="145" spans="1:15" ht="13.5" customHeight="1">
      <c r="A145" s="33" t="s">
        <v>122</v>
      </c>
      <c r="B145" s="33" t="s">
        <v>123</v>
      </c>
      <c r="C145" s="33"/>
      <c r="D145" s="34" t="s">
        <v>124</v>
      </c>
      <c r="E145" s="7">
        <f t="shared" si="12"/>
        <v>0</v>
      </c>
      <c r="F145" s="7"/>
      <c r="G145" s="7">
        <v>0</v>
      </c>
      <c r="J145" s="3">
        <f t="shared" si="13"/>
        <v>0</v>
      </c>
      <c r="K145" s="4">
        <f t="shared" si="11"/>
        <v>0</v>
      </c>
      <c r="O145" s="3">
        <f t="shared" si="5"/>
        <v>0</v>
      </c>
    </row>
    <row r="146" spans="1:15" ht="13.5" customHeight="1">
      <c r="A146" s="32"/>
      <c r="B146" s="33"/>
      <c r="C146" s="33"/>
      <c r="D146" s="34"/>
      <c r="E146" s="7"/>
      <c r="F146" s="7"/>
      <c r="G146" s="7"/>
      <c r="O146" s="3">
        <f t="shared" si="5"/>
        <v>0</v>
      </c>
    </row>
    <row r="147" spans="1:16" ht="13.5" customHeight="1">
      <c r="A147" s="28" t="s">
        <v>21</v>
      </c>
      <c r="B147" s="28" t="s">
        <v>125</v>
      </c>
      <c r="C147" s="28"/>
      <c r="D147" s="29" t="s">
        <v>126</v>
      </c>
      <c r="E147" s="30">
        <f>SUM(E148:E150)</f>
        <v>2500989018</v>
      </c>
      <c r="F147" s="30"/>
      <c r="G147" s="30">
        <v>2500989018</v>
      </c>
      <c r="H147" s="30">
        <f>SUM(H148:H150)</f>
        <v>-115762308</v>
      </c>
      <c r="I147" s="30">
        <f>SUM(I148:I150)</f>
        <v>0</v>
      </c>
      <c r="J147" s="30">
        <f>SUM(J148:J150)</f>
        <v>0</v>
      </c>
      <c r="K147" s="4">
        <f>IF(J147=0,0%,IF(G147=0,100%,J147/G147))</f>
        <v>0</v>
      </c>
      <c r="O147" s="3">
        <f t="shared" si="5"/>
        <v>0</v>
      </c>
      <c r="P147" s="3"/>
    </row>
    <row r="148" spans="1:15" ht="13.5" customHeight="1">
      <c r="A148" s="32" t="s">
        <v>17</v>
      </c>
      <c r="B148" s="33" t="s">
        <v>127</v>
      </c>
      <c r="C148" s="33"/>
      <c r="D148" s="34" t="s">
        <v>128</v>
      </c>
      <c r="E148" s="7">
        <f>H148+I148+1744500884+872250442</f>
        <v>2500989018</v>
      </c>
      <c r="F148" s="7"/>
      <c r="G148" s="7">
        <v>2500989018</v>
      </c>
      <c r="H148" s="3">
        <f>-115762308</f>
        <v>-115762308</v>
      </c>
      <c r="J148" s="3">
        <f>E148-G148</f>
        <v>0</v>
      </c>
      <c r="K148" s="4">
        <f>IF(J148=0,0%,IF(G148=0,100%,J148/G148))</f>
        <v>0</v>
      </c>
      <c r="O148" s="3">
        <f t="shared" si="5"/>
        <v>0</v>
      </c>
    </row>
    <row r="149" spans="1:15" ht="13.5" customHeight="1">
      <c r="A149" s="32" t="s">
        <v>19</v>
      </c>
      <c r="B149" s="33" t="s">
        <v>129</v>
      </c>
      <c r="C149" s="33"/>
      <c r="D149" s="34" t="s">
        <v>130</v>
      </c>
      <c r="E149" s="7">
        <f>H149+I149</f>
        <v>0</v>
      </c>
      <c r="F149" s="7"/>
      <c r="G149" s="7">
        <v>0</v>
      </c>
      <c r="J149" s="3">
        <f>E149-G149</f>
        <v>0</v>
      </c>
      <c r="K149" s="4">
        <f>IF(J149=0,0%,IF(G149=0,100%,J149/G149))</f>
        <v>0</v>
      </c>
      <c r="O149" s="3">
        <f t="shared" si="5"/>
        <v>0</v>
      </c>
    </row>
    <row r="150" spans="1:15" ht="13.5" customHeight="1">
      <c r="A150" s="32" t="s">
        <v>29</v>
      </c>
      <c r="B150" s="33" t="s">
        <v>131</v>
      </c>
      <c r="C150" s="33"/>
      <c r="D150" s="34" t="s">
        <v>132</v>
      </c>
      <c r="E150" s="7">
        <f>H150+I150</f>
        <v>0</v>
      </c>
      <c r="F150" s="7"/>
      <c r="G150" s="7">
        <v>0</v>
      </c>
      <c r="J150" s="3">
        <f>E150-G150</f>
        <v>0</v>
      </c>
      <c r="K150" s="4">
        <f>IF(J150=0,0%,IF(G150=0,100%,J150/G150))</f>
        <v>0</v>
      </c>
      <c r="O150" s="3">
        <f t="shared" si="5"/>
        <v>0</v>
      </c>
    </row>
    <row r="151" spans="1:15" ht="13.5" customHeight="1">
      <c r="A151" s="32"/>
      <c r="B151" s="33"/>
      <c r="C151" s="33"/>
      <c r="D151" s="34"/>
      <c r="E151" s="7"/>
      <c r="F151" s="7"/>
      <c r="G151" s="7"/>
      <c r="O151" s="3">
        <f t="shared" si="5"/>
        <v>0</v>
      </c>
    </row>
    <row r="152" spans="1:15" ht="19.5" customHeight="1" thickBot="1">
      <c r="A152" s="49"/>
      <c r="B152" s="49" t="s">
        <v>133</v>
      </c>
      <c r="C152" s="49"/>
      <c r="D152" s="50" t="s">
        <v>134</v>
      </c>
      <c r="E152" s="51">
        <f>E108+E132</f>
        <v>755909457159.86</v>
      </c>
      <c r="F152" s="52"/>
      <c r="G152" s="51">
        <f>G108+G132</f>
        <v>740306484903</v>
      </c>
      <c r="H152" s="51">
        <f>H108+H132</f>
        <v>738780551113</v>
      </c>
      <c r="I152" s="51">
        <f>I108+I132</f>
        <v>1525933790</v>
      </c>
      <c r="J152" s="51">
        <f>J108+J132</f>
        <v>15602972256.86</v>
      </c>
      <c r="K152" s="4">
        <f>IF(J152=0,0%,IF(G152=0,100%,J152/G152))</f>
        <v>0.021076368470423986</v>
      </c>
      <c r="O152" s="3"/>
    </row>
    <row r="153" spans="4:15" ht="13.5" customHeight="1" thickTop="1">
      <c r="D153" s="41"/>
      <c r="H153" s="3">
        <f>H152-H93</f>
        <v>0</v>
      </c>
      <c r="I153" s="3">
        <f>I152-I93</f>
        <v>0</v>
      </c>
      <c r="J153" s="3">
        <f>J152-J93</f>
        <v>-0.1399993896484375</v>
      </c>
      <c r="O153" s="3">
        <f>O152+O93</f>
        <v>-15602972257</v>
      </c>
    </row>
    <row r="154" spans="1:7" ht="13.5" customHeight="1">
      <c r="A154" s="36" t="s">
        <v>182</v>
      </c>
      <c r="B154" s="36"/>
      <c r="C154" s="36"/>
      <c r="D154" s="54"/>
      <c r="E154" s="55"/>
      <c r="F154" s="55"/>
      <c r="G154" s="55"/>
    </row>
    <row r="155" spans="1:7" ht="13.5" customHeight="1" thickBot="1">
      <c r="A155" s="37" t="s">
        <v>47</v>
      </c>
      <c r="B155" s="38"/>
      <c r="C155" s="38"/>
      <c r="D155" s="39"/>
      <c r="E155" s="40"/>
      <c r="F155" s="40"/>
      <c r="G155" s="40"/>
    </row>
    <row r="156" ht="13.5" customHeight="1">
      <c r="D156" s="41"/>
    </row>
    <row r="157" spans="1:11" s="60" customFormat="1" ht="18" customHeight="1">
      <c r="A157" s="56" t="s">
        <v>135</v>
      </c>
      <c r="B157" s="56"/>
      <c r="C157" s="56"/>
      <c r="D157" s="56"/>
      <c r="E157" s="57"/>
      <c r="F157" s="57"/>
      <c r="G157" s="57"/>
      <c r="H157" s="58"/>
      <c r="I157" s="58"/>
      <c r="J157" s="58"/>
      <c r="K157" s="59"/>
    </row>
    <row r="158" ht="13.5" customHeight="1">
      <c r="D158" s="41"/>
    </row>
    <row r="159" spans="1:7" ht="27.75" customHeight="1">
      <c r="A159" s="20" t="s">
        <v>136</v>
      </c>
      <c r="B159" s="21"/>
      <c r="C159" s="21"/>
      <c r="D159" s="22"/>
      <c r="E159" s="23" t="s">
        <v>7</v>
      </c>
      <c r="F159" s="24"/>
      <c r="G159" s="23" t="s">
        <v>8</v>
      </c>
    </row>
    <row r="160" spans="1:7" ht="13.5" customHeight="1">
      <c r="A160" s="28"/>
      <c r="B160" s="28"/>
      <c r="C160" s="28"/>
      <c r="D160" s="29"/>
      <c r="E160" s="7"/>
      <c r="F160" s="7"/>
      <c r="G160" s="7"/>
    </row>
    <row r="161" spans="1:11" ht="13.5" customHeight="1">
      <c r="A161" s="32" t="s">
        <v>17</v>
      </c>
      <c r="B161" s="33" t="s">
        <v>137</v>
      </c>
      <c r="C161" s="33"/>
      <c r="D161" s="34"/>
      <c r="E161" s="7">
        <f aca="true" t="shared" si="14" ref="E161:E166">H161+I161</f>
        <v>0</v>
      </c>
      <c r="F161" s="7"/>
      <c r="G161" s="7">
        <v>0</v>
      </c>
      <c r="J161" s="3">
        <f aca="true" t="shared" si="15" ref="J161:J166">E161-G161</f>
        <v>0</v>
      </c>
      <c r="K161" s="4">
        <f aca="true" t="shared" si="16" ref="K161:K166">IF(J161=0,0%,IF(G161=0,100%,J161/G161))</f>
        <v>0</v>
      </c>
    </row>
    <row r="162" spans="1:11" ht="13.5" customHeight="1">
      <c r="A162" s="32" t="s">
        <v>19</v>
      </c>
      <c r="B162" s="33" t="s">
        <v>138</v>
      </c>
      <c r="C162" s="33"/>
      <c r="D162" s="34"/>
      <c r="E162" s="7">
        <f t="shared" si="14"/>
        <v>0</v>
      </c>
      <c r="F162" s="7"/>
      <c r="G162" s="7">
        <v>0</v>
      </c>
      <c r="J162" s="3">
        <f t="shared" si="15"/>
        <v>0</v>
      </c>
      <c r="K162" s="4">
        <f t="shared" si="16"/>
        <v>0</v>
      </c>
    </row>
    <row r="163" spans="1:11" ht="13.5" customHeight="1">
      <c r="A163" s="32" t="s">
        <v>29</v>
      </c>
      <c r="B163" s="33" t="s">
        <v>139</v>
      </c>
      <c r="C163" s="33"/>
      <c r="D163" s="34"/>
      <c r="E163" s="7">
        <f t="shared" si="14"/>
        <v>0</v>
      </c>
      <c r="F163" s="7"/>
      <c r="G163" s="7">
        <v>0</v>
      </c>
      <c r="J163" s="3">
        <f t="shared" si="15"/>
        <v>0</v>
      </c>
      <c r="K163" s="4">
        <f t="shared" si="16"/>
        <v>0</v>
      </c>
    </row>
    <row r="164" spans="1:11" ht="13.5" customHeight="1">
      <c r="A164" s="32" t="s">
        <v>31</v>
      </c>
      <c r="B164" s="33" t="s">
        <v>140</v>
      </c>
      <c r="C164" s="33"/>
      <c r="D164" s="34"/>
      <c r="E164" s="7">
        <f t="shared" si="14"/>
        <v>0</v>
      </c>
      <c r="F164" s="7"/>
      <c r="G164" s="7">
        <v>0</v>
      </c>
      <c r="J164" s="3">
        <f t="shared" si="15"/>
        <v>0</v>
      </c>
      <c r="K164" s="4">
        <f t="shared" si="16"/>
        <v>0</v>
      </c>
    </row>
    <row r="165" spans="1:11" ht="13.5" customHeight="1">
      <c r="A165" s="32" t="s">
        <v>33</v>
      </c>
      <c r="B165" s="33" t="s">
        <v>141</v>
      </c>
      <c r="C165" s="33"/>
      <c r="D165" s="34"/>
      <c r="E165" s="61">
        <v>0</v>
      </c>
      <c r="F165" s="7"/>
      <c r="G165" s="62">
        <v>0</v>
      </c>
      <c r="H165" s="63"/>
      <c r="J165" s="3">
        <f t="shared" si="15"/>
        <v>0</v>
      </c>
      <c r="K165" s="4">
        <f t="shared" si="16"/>
        <v>0</v>
      </c>
    </row>
    <row r="166" spans="1:11" ht="13.5" customHeight="1">
      <c r="A166" s="32" t="s">
        <v>36</v>
      </c>
      <c r="B166" s="33" t="s">
        <v>142</v>
      </c>
      <c r="C166" s="33"/>
      <c r="D166" s="34"/>
      <c r="E166" s="7">
        <f t="shared" si="14"/>
        <v>0</v>
      </c>
      <c r="F166" s="7"/>
      <c r="G166" s="7">
        <v>0</v>
      </c>
      <c r="J166" s="3">
        <f t="shared" si="15"/>
        <v>0</v>
      </c>
      <c r="K166" s="4">
        <f t="shared" si="16"/>
        <v>0</v>
      </c>
    </row>
    <row r="167" spans="1:7" ht="13.5" customHeight="1">
      <c r="A167" s="33"/>
      <c r="B167" s="33"/>
      <c r="C167" s="33"/>
      <c r="D167" s="33"/>
      <c r="E167" s="7"/>
      <c r="F167" s="7"/>
      <c r="G167" s="7"/>
    </row>
    <row r="168" spans="1:7" ht="13.5" customHeight="1">
      <c r="A168" s="33"/>
      <c r="B168" s="33"/>
      <c r="C168" s="33"/>
      <c r="D168" s="33"/>
      <c r="E168" s="7"/>
      <c r="F168" s="7"/>
      <c r="G168" s="7"/>
    </row>
    <row r="169" spans="5:11" s="2" customFormat="1" ht="13.5" customHeight="1">
      <c r="E169" s="1"/>
      <c r="F169" s="1"/>
      <c r="G169" s="19" t="s">
        <v>186</v>
      </c>
      <c r="H169" s="3"/>
      <c r="I169" s="3"/>
      <c r="J169" s="3"/>
      <c r="K169" s="4"/>
    </row>
    <row r="170" spans="8:11" s="2" customFormat="1" ht="13.5" customHeight="1">
      <c r="H170" s="3"/>
      <c r="I170" s="3"/>
      <c r="J170" s="3"/>
      <c r="K170" s="4"/>
    </row>
    <row r="171" spans="8:11" s="2" customFormat="1" ht="13.5" customHeight="1">
      <c r="H171" s="3"/>
      <c r="I171" s="3"/>
      <c r="J171" s="3"/>
      <c r="K171" s="4"/>
    </row>
    <row r="172" spans="8:11" s="2" customFormat="1" ht="13.5" customHeight="1">
      <c r="H172" s="3"/>
      <c r="I172" s="3"/>
      <c r="J172" s="3"/>
      <c r="K172" s="4"/>
    </row>
    <row r="173" spans="8:11" s="2" customFormat="1" ht="13.5" customHeight="1">
      <c r="H173" s="3"/>
      <c r="I173" s="3"/>
      <c r="J173" s="3"/>
      <c r="K173" s="4"/>
    </row>
    <row r="174" spans="8:11" s="2" customFormat="1" ht="13.5" customHeight="1">
      <c r="H174" s="3"/>
      <c r="I174" s="3"/>
      <c r="J174" s="3"/>
      <c r="K174" s="4"/>
    </row>
    <row r="175" spans="8:11" s="2" customFormat="1" ht="13.5" customHeight="1">
      <c r="H175" s="3"/>
      <c r="I175" s="3"/>
      <c r="J175" s="3"/>
      <c r="K175" s="4"/>
    </row>
    <row r="176" spans="8:11" s="2" customFormat="1" ht="13.5" customHeight="1">
      <c r="H176" s="3"/>
      <c r="I176" s="3"/>
      <c r="J176" s="3"/>
      <c r="K176" s="4"/>
    </row>
    <row r="177" spans="2:11" s="2" customFormat="1" ht="13.5" customHeight="1">
      <c r="B177" s="41" t="s">
        <v>143</v>
      </c>
      <c r="G177" s="41" t="s">
        <v>143</v>
      </c>
      <c r="H177" s="3"/>
      <c r="I177" s="3"/>
      <c r="J177" s="3"/>
      <c r="K177" s="4"/>
    </row>
    <row r="178" spans="2:11" s="2" customFormat="1" ht="13.5" customHeight="1">
      <c r="B178" s="103" t="s">
        <v>144</v>
      </c>
      <c r="C178" s="64"/>
      <c r="D178" s="1"/>
      <c r="F178" s="1"/>
      <c r="G178" s="103" t="s">
        <v>183</v>
      </c>
      <c r="H178" s="3"/>
      <c r="I178" s="3"/>
      <c r="J178" s="3"/>
      <c r="K178" s="4"/>
    </row>
    <row r="179" spans="2:11" s="2" customFormat="1" ht="13.5" customHeight="1">
      <c r="B179" s="103" t="s">
        <v>145</v>
      </c>
      <c r="C179" s="64"/>
      <c r="D179" s="1"/>
      <c r="F179" s="1"/>
      <c r="G179" s="103" t="s">
        <v>184</v>
      </c>
      <c r="H179" s="3"/>
      <c r="I179" s="3"/>
      <c r="J179" s="3"/>
      <c r="K179" s="4"/>
    </row>
  </sheetData>
  <printOptions/>
  <pageMargins left="0.75" right="0.75" top="0.54" bottom="0.5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42">
      <selection activeCell="E50" sqref="E50"/>
    </sheetView>
  </sheetViews>
  <sheetFormatPr defaultColWidth="9.140625" defaultRowHeight="13.5" customHeight="1"/>
  <cols>
    <col min="1" max="1" width="3.7109375" style="94" customWidth="1"/>
    <col min="2" max="2" width="29.7109375" style="94" customWidth="1"/>
    <col min="3" max="3" width="18.57421875" style="94" customWidth="1"/>
    <col min="4" max="4" width="10.140625" style="94" customWidth="1"/>
    <col min="5" max="5" width="29.421875" style="66" customWidth="1"/>
    <col min="6" max="6" width="2.7109375" style="66" customWidth="1"/>
    <col min="7" max="7" width="15.57421875" style="66" hidden="1" customWidth="1"/>
    <col min="8" max="8" width="16.8515625" style="66" hidden="1" customWidth="1"/>
    <col min="9" max="9" width="16.140625" style="66" hidden="1" customWidth="1"/>
    <col min="10" max="10" width="0" style="94" hidden="1" customWidth="1"/>
    <col min="11" max="11" width="18.140625" style="94" hidden="1" customWidth="1"/>
    <col min="12" max="12" width="0" style="94" hidden="1" customWidth="1"/>
    <col min="13" max="14" width="16.00390625" style="94" hidden="1" customWidth="1"/>
    <col min="15" max="15" width="13.57421875" style="94" hidden="1" customWidth="1"/>
    <col min="16" max="19" width="0" style="94" hidden="1" customWidth="1"/>
    <col min="20" max="20" width="9.140625" style="94" customWidth="1"/>
    <col min="21" max="21" width="15.57421875" style="94" bestFit="1" customWidth="1"/>
    <col min="22" max="16384" width="9.140625" style="94" customWidth="1"/>
  </cols>
  <sheetData>
    <row r="1" spans="1:11" s="31" customFormat="1" ht="13.5" customHeight="1">
      <c r="A1" s="8" t="s">
        <v>177</v>
      </c>
      <c r="B1" s="8"/>
      <c r="C1" s="8"/>
      <c r="D1" s="8"/>
      <c r="E1" s="17"/>
      <c r="F1" s="17"/>
      <c r="G1" s="17"/>
      <c r="H1" s="17"/>
      <c r="I1" s="17"/>
      <c r="J1" s="17"/>
      <c r="K1" s="18"/>
    </row>
    <row r="2" spans="1:9" s="106" customFormat="1" ht="15.75" customHeight="1">
      <c r="A2" s="98" t="s">
        <v>0</v>
      </c>
      <c r="B2" s="104"/>
      <c r="C2" s="104"/>
      <c r="D2" s="104"/>
      <c r="E2" s="104"/>
      <c r="F2" s="104"/>
      <c r="G2" s="105"/>
      <c r="H2" s="105"/>
      <c r="I2" s="105"/>
    </row>
    <row r="3" spans="1:9" s="67" customFormat="1" ht="13.5" customHeight="1">
      <c r="A3" s="1" t="s">
        <v>1</v>
      </c>
      <c r="B3" s="65"/>
      <c r="C3" s="65"/>
      <c r="D3" s="65"/>
      <c r="E3" s="65"/>
      <c r="F3" s="65"/>
      <c r="G3" s="66"/>
      <c r="H3" s="66"/>
      <c r="I3" s="66"/>
    </row>
    <row r="4" spans="1:9" s="67" customFormat="1" ht="13.5" customHeight="1">
      <c r="A4" s="1" t="s">
        <v>2</v>
      </c>
      <c r="B4" s="65"/>
      <c r="C4" s="65"/>
      <c r="D4" s="65"/>
      <c r="E4" s="65"/>
      <c r="F4" s="65"/>
      <c r="G4" s="66"/>
      <c r="H4" s="66"/>
      <c r="I4" s="66"/>
    </row>
    <row r="5" spans="1:9" s="67" customFormat="1" ht="13.5" customHeight="1" thickBot="1">
      <c r="A5" s="5" t="s">
        <v>182</v>
      </c>
      <c r="B5" s="68"/>
      <c r="C5" s="68"/>
      <c r="D5" s="68"/>
      <c r="E5" s="68"/>
      <c r="F5" s="68"/>
      <c r="G5" s="66"/>
      <c r="H5" s="66"/>
      <c r="I5" s="66"/>
    </row>
    <row r="6" spans="1:9" s="67" customFormat="1" ht="13.5" customHeight="1">
      <c r="A6" s="69"/>
      <c r="G6" s="66"/>
      <c r="H6" s="66"/>
      <c r="I6" s="66"/>
    </row>
    <row r="7" spans="1:9" s="72" customFormat="1" ht="19.5" customHeight="1">
      <c r="A7" s="9" t="s">
        <v>146</v>
      </c>
      <c r="B7" s="70"/>
      <c r="C7" s="70"/>
      <c r="D7" s="70"/>
      <c r="E7" s="70"/>
      <c r="F7" s="70"/>
      <c r="G7" s="71"/>
      <c r="H7" s="71"/>
      <c r="I7" s="71"/>
    </row>
    <row r="8" spans="1:9" s="76" customFormat="1" ht="15">
      <c r="A8" s="13" t="s">
        <v>180</v>
      </c>
      <c r="B8" s="73"/>
      <c r="C8" s="73"/>
      <c r="D8" s="73"/>
      <c r="E8" s="73"/>
      <c r="F8" s="73"/>
      <c r="G8" s="74"/>
      <c r="H8" s="74"/>
      <c r="I8" s="75"/>
    </row>
    <row r="9" spans="7:9" s="67" customFormat="1" ht="13.5" customHeight="1">
      <c r="G9" s="66"/>
      <c r="H9" s="66"/>
      <c r="I9" s="66"/>
    </row>
    <row r="10" spans="5:9" s="67" customFormat="1" ht="13.5" customHeight="1">
      <c r="E10" s="19" t="s">
        <v>4</v>
      </c>
      <c r="G10" s="66"/>
      <c r="H10" s="66"/>
      <c r="I10" s="66"/>
    </row>
    <row r="11" spans="7:9" s="67" customFormat="1" ht="13.5" customHeight="1">
      <c r="G11" s="66"/>
      <c r="H11" s="66"/>
      <c r="I11" s="66"/>
    </row>
    <row r="12" spans="4:9" s="69" customFormat="1" ht="13.5" customHeight="1">
      <c r="D12" s="109" t="s">
        <v>6</v>
      </c>
      <c r="E12" s="77"/>
      <c r="F12" s="77"/>
      <c r="G12" s="78"/>
      <c r="H12" s="78"/>
      <c r="I12" s="78"/>
    </row>
    <row r="13" spans="1:10" s="67" customFormat="1" ht="12.75">
      <c r="A13" s="79" t="s">
        <v>136</v>
      </c>
      <c r="B13" s="79"/>
      <c r="C13" s="79"/>
      <c r="D13" s="109"/>
      <c r="E13" s="102" t="s">
        <v>181</v>
      </c>
      <c r="F13" s="24"/>
      <c r="G13" s="25" t="s">
        <v>147</v>
      </c>
      <c r="H13" s="25" t="s">
        <v>10</v>
      </c>
      <c r="I13" s="26" t="s">
        <v>11</v>
      </c>
      <c r="J13" s="23" t="s">
        <v>12</v>
      </c>
    </row>
    <row r="14" spans="1:9" s="67" customFormat="1" ht="13.5" customHeight="1">
      <c r="A14" s="80"/>
      <c r="B14" s="80"/>
      <c r="C14" s="80"/>
      <c r="D14" s="81"/>
      <c r="E14" s="80"/>
      <c r="F14" s="80"/>
      <c r="G14" s="66"/>
      <c r="H14" s="66"/>
      <c r="I14" s="66"/>
    </row>
    <row r="15" spans="1:21" s="88" customFormat="1" ht="13.5" customHeight="1">
      <c r="A15" s="82" t="s">
        <v>17</v>
      </c>
      <c r="B15" s="83" t="s">
        <v>148</v>
      </c>
      <c r="C15" s="83"/>
      <c r="D15" s="84" t="s">
        <v>149</v>
      </c>
      <c r="E15" s="86">
        <f>28714151434+1184852727+54860320235+166077200000</f>
        <v>250836524396</v>
      </c>
      <c r="F15" s="86"/>
      <c r="G15" s="78">
        <v>499410641801</v>
      </c>
      <c r="H15" s="78">
        <f>'[1]but toan dieu chinh'!F40</f>
        <v>152864500000</v>
      </c>
      <c r="I15" s="78" t="e">
        <f>E15-#REF!</f>
        <v>#REF!</v>
      </c>
      <c r="J15" s="18" t="e">
        <f>IF(I15=0,0%,IF(#REF!=0,100%,I15/#REF!))</f>
        <v>#REF!</v>
      </c>
      <c r="K15" s="87">
        <v>211498112580</v>
      </c>
      <c r="U15" s="78"/>
    </row>
    <row r="16" spans="1:11" s="88" customFormat="1" ht="7.5" customHeight="1">
      <c r="A16" s="82"/>
      <c r="B16" s="83"/>
      <c r="C16" s="83"/>
      <c r="D16" s="84"/>
      <c r="E16" s="86"/>
      <c r="F16" s="86"/>
      <c r="G16" s="78"/>
      <c r="H16" s="78"/>
      <c r="I16" s="78"/>
      <c r="K16" s="87"/>
    </row>
    <row r="17" spans="1:11" s="88" customFormat="1" ht="13.5" customHeight="1">
      <c r="A17" s="82" t="s">
        <v>19</v>
      </c>
      <c r="B17" s="83" t="s">
        <v>150</v>
      </c>
      <c r="C17" s="83"/>
      <c r="D17" s="84" t="s">
        <v>151</v>
      </c>
      <c r="E17" s="86">
        <f>G17+H17</f>
        <v>0</v>
      </c>
      <c r="F17" s="86"/>
      <c r="G17" s="78">
        <v>0</v>
      </c>
      <c r="H17" s="78"/>
      <c r="I17" s="78" t="e">
        <f>E17-#REF!</f>
        <v>#REF!</v>
      </c>
      <c r="J17" s="18" t="e">
        <f>IF(I17=0,0%,IF(#REF!=0,100%,I17/#REF!))</f>
        <v>#REF!</v>
      </c>
      <c r="K17" s="87">
        <v>0</v>
      </c>
    </row>
    <row r="18" spans="1:11" s="88" customFormat="1" ht="7.5" customHeight="1">
      <c r="A18" s="82"/>
      <c r="B18" s="83"/>
      <c r="C18" s="83"/>
      <c r="D18" s="84"/>
      <c r="E18" s="86"/>
      <c r="F18" s="86"/>
      <c r="G18" s="78"/>
      <c r="H18" s="78"/>
      <c r="I18" s="78"/>
      <c r="K18" s="87"/>
    </row>
    <row r="19" spans="1:11" s="88" customFormat="1" ht="13.5" customHeight="1">
      <c r="A19" s="82" t="s">
        <v>29</v>
      </c>
      <c r="B19" s="83" t="s">
        <v>152</v>
      </c>
      <c r="C19" s="83"/>
      <c r="D19" s="85">
        <v>10</v>
      </c>
      <c r="E19" s="86">
        <f>E15-E17</f>
        <v>250836524396</v>
      </c>
      <c r="F19" s="86"/>
      <c r="G19" s="86">
        <f>G15-G17</f>
        <v>499410641801</v>
      </c>
      <c r="H19" s="86">
        <f>H15-H17</f>
        <v>152864500000</v>
      </c>
      <c r="I19" s="86" t="e">
        <f>I15-I17</f>
        <v>#REF!</v>
      </c>
      <c r="J19" s="18" t="e">
        <f>IF(I19=0,0%,IF(#REF!=0,100%,I19/#REF!))</f>
        <v>#REF!</v>
      </c>
      <c r="K19" s="87">
        <f>K15-K17</f>
        <v>211498112580</v>
      </c>
    </row>
    <row r="20" spans="1:11" s="88" customFormat="1" ht="7.5" customHeight="1">
      <c r="A20" s="82"/>
      <c r="B20" s="83"/>
      <c r="C20" s="83"/>
      <c r="D20" s="85"/>
      <c r="E20" s="86"/>
      <c r="F20" s="86"/>
      <c r="G20" s="78"/>
      <c r="H20" s="78"/>
      <c r="I20" s="78"/>
      <c r="K20" s="87"/>
    </row>
    <row r="21" spans="1:21" s="88" customFormat="1" ht="13.5" customHeight="1">
      <c r="A21" s="82" t="s">
        <v>31</v>
      </c>
      <c r="B21" s="83" t="s">
        <v>153</v>
      </c>
      <c r="C21" s="83"/>
      <c r="D21" s="85">
        <v>11</v>
      </c>
      <c r="E21" s="86">
        <f>29140452521+49378896897+113177251214-171528543+4326427457</f>
        <v>195851499546</v>
      </c>
      <c r="F21" s="86"/>
      <c r="G21" s="78">
        <v>449514814404</v>
      </c>
      <c r="H21" s="78">
        <f>'[1]but toan dieu chinh'!E18+'[1]but toan dieu chinh'!E30-'[1]but toan dieu chinh'!F38+'[1]but toan dieu chinh'!E42-'[1]but toan dieu chinh'!F85</f>
        <v>121712098738</v>
      </c>
      <c r="I21" s="78" t="e">
        <f>E21-#REF!</f>
        <v>#REF!</v>
      </c>
      <c r="J21" s="18" t="e">
        <f>IF(I21=0,0%,IF(#REF!=0,100%,I21/#REF!))</f>
        <v>#REF!</v>
      </c>
      <c r="K21" s="87">
        <v>201886799103</v>
      </c>
      <c r="U21" s="78"/>
    </row>
    <row r="22" spans="1:11" s="88" customFormat="1" ht="7.5" customHeight="1">
      <c r="A22" s="82"/>
      <c r="B22" s="83"/>
      <c r="C22" s="83"/>
      <c r="D22" s="85"/>
      <c r="E22" s="86"/>
      <c r="F22" s="86"/>
      <c r="G22" s="78"/>
      <c r="H22" s="78"/>
      <c r="I22" s="78"/>
      <c r="K22" s="87"/>
    </row>
    <row r="23" spans="1:11" s="88" customFormat="1" ht="13.5" customHeight="1">
      <c r="A23" s="82" t="s">
        <v>33</v>
      </c>
      <c r="B23" s="83" t="s">
        <v>154</v>
      </c>
      <c r="C23" s="83"/>
      <c r="D23" s="85">
        <v>20</v>
      </c>
      <c r="E23" s="86">
        <f>E19-E21</f>
        <v>54985024850</v>
      </c>
      <c r="F23" s="86"/>
      <c r="G23" s="86">
        <f>G19-G21</f>
        <v>49895827397</v>
      </c>
      <c r="H23" s="86">
        <f>H19-H21</f>
        <v>31152401262</v>
      </c>
      <c r="I23" s="86" t="e">
        <f>I19-I21</f>
        <v>#REF!</v>
      </c>
      <c r="J23" s="18" t="e">
        <f>IF(I23=0,0%,IF(#REF!=0,100%,I23/#REF!))</f>
        <v>#REF!</v>
      </c>
      <c r="K23" s="87">
        <f>K19-K21</f>
        <v>9611313477</v>
      </c>
    </row>
    <row r="24" spans="1:11" s="88" customFormat="1" ht="7.5" customHeight="1">
      <c r="A24" s="82"/>
      <c r="B24" s="83"/>
      <c r="C24" s="83"/>
      <c r="D24" s="85"/>
      <c r="E24" s="86">
        <v>0</v>
      </c>
      <c r="F24" s="86"/>
      <c r="G24" s="89" t="s">
        <v>155</v>
      </c>
      <c r="H24" s="78"/>
      <c r="I24" s="78"/>
      <c r="K24" s="87"/>
    </row>
    <row r="25" spans="1:11" s="88" customFormat="1" ht="13.5" customHeight="1">
      <c r="A25" s="82" t="s">
        <v>36</v>
      </c>
      <c r="B25" s="83" t="s">
        <v>156</v>
      </c>
      <c r="C25" s="83"/>
      <c r="D25" s="85">
        <v>21</v>
      </c>
      <c r="E25" s="86">
        <v>213191541</v>
      </c>
      <c r="F25" s="86"/>
      <c r="G25" s="78">
        <v>886549740</v>
      </c>
      <c r="H25" s="78">
        <v>0</v>
      </c>
      <c r="I25" s="78" t="e">
        <f>E25-#REF!</f>
        <v>#REF!</v>
      </c>
      <c r="J25" s="18" t="e">
        <f>IF(I25=0,0%,IF(#REF!=0,100%,I25/#REF!))</f>
        <v>#REF!</v>
      </c>
      <c r="K25" s="87">
        <v>131050000</v>
      </c>
    </row>
    <row r="26" spans="1:11" s="88" customFormat="1" ht="7.5" customHeight="1">
      <c r="A26" s="82"/>
      <c r="B26" s="83"/>
      <c r="C26" s="83"/>
      <c r="D26" s="85"/>
      <c r="E26" s="86"/>
      <c r="F26" s="86"/>
      <c r="G26" s="78"/>
      <c r="H26" s="78"/>
      <c r="I26" s="78"/>
      <c r="K26" s="87"/>
    </row>
    <row r="27" spans="1:11" s="88" customFormat="1" ht="13.5" customHeight="1">
      <c r="A27" s="82" t="s">
        <v>84</v>
      </c>
      <c r="B27" s="83" t="s">
        <v>157</v>
      </c>
      <c r="C27" s="83"/>
      <c r="D27" s="85">
        <v>22</v>
      </c>
      <c r="E27" s="86">
        <f>11438921629+171528542</f>
        <v>11610450171</v>
      </c>
      <c r="F27" s="86"/>
      <c r="G27" s="78">
        <v>29277787633</v>
      </c>
      <c r="H27" s="78">
        <f>'[1]but toan dieu chinh'!E21+'[1]but toan dieu chinh'!E83+'[1]but toan dieu chinh'!E85</f>
        <v>10084485972</v>
      </c>
      <c r="I27" s="78" t="e">
        <f>E27-#REF!</f>
        <v>#REF!</v>
      </c>
      <c r="J27" s="18" t="e">
        <f>IF(I27=0,0%,IF(#REF!=0,100%,I27/#REF!))</f>
        <v>#REF!</v>
      </c>
      <c r="K27" s="87">
        <v>7958942615</v>
      </c>
    </row>
    <row r="28" spans="1:21" ht="13.5" customHeight="1">
      <c r="A28" s="90"/>
      <c r="B28" s="90" t="s">
        <v>158</v>
      </c>
      <c r="C28" s="90"/>
      <c r="D28" s="91">
        <v>23</v>
      </c>
      <c r="E28" s="92">
        <v>11403199004</v>
      </c>
      <c r="F28" s="92"/>
      <c r="G28" s="66">
        <v>27181426520</v>
      </c>
      <c r="H28" s="66">
        <f>'[1]but toan dieu chinh'!E83+'[1]but toan dieu chinh'!E85</f>
        <v>6109687216</v>
      </c>
      <c r="I28" s="66" t="e">
        <f>E28-#REF!</f>
        <v>#REF!</v>
      </c>
      <c r="J28" s="18" t="e">
        <f>IF(I28=0,0%,IF(#REF!=0,100%,I28/#REF!))</f>
        <v>#REF!</v>
      </c>
      <c r="K28" s="93">
        <v>7090193158</v>
      </c>
      <c r="U28" s="66"/>
    </row>
    <row r="29" spans="1:11" ht="7.5" customHeight="1">
      <c r="A29" s="90"/>
      <c r="B29" s="90"/>
      <c r="C29" s="90"/>
      <c r="D29" s="91"/>
      <c r="E29" s="92"/>
      <c r="F29" s="92"/>
      <c r="K29" s="93"/>
    </row>
    <row r="30" spans="1:11" s="88" customFormat="1" ht="13.5" customHeight="1">
      <c r="A30" s="82" t="s">
        <v>86</v>
      </c>
      <c r="B30" s="83" t="s">
        <v>159</v>
      </c>
      <c r="C30" s="83"/>
      <c r="D30" s="85">
        <v>24</v>
      </c>
      <c r="E30" s="86">
        <v>6041589435</v>
      </c>
      <c r="F30" s="86"/>
      <c r="G30" s="78">
        <v>7006059892</v>
      </c>
      <c r="H30" s="78">
        <v>0</v>
      </c>
      <c r="I30" s="78" t="e">
        <f>E30-#REF!</f>
        <v>#REF!</v>
      </c>
      <c r="J30" s="18" t="e">
        <f>IF(I30=0,0%,IF(#REF!=0,100%,I30/#REF!))</f>
        <v>#REF!</v>
      </c>
      <c r="K30" s="87">
        <v>3592086246</v>
      </c>
    </row>
    <row r="31" spans="1:11" s="88" customFormat="1" ht="7.5" customHeight="1">
      <c r="A31" s="82"/>
      <c r="B31" s="83"/>
      <c r="C31" s="83"/>
      <c r="D31" s="85"/>
      <c r="E31" s="86"/>
      <c r="F31" s="86"/>
      <c r="G31" s="78"/>
      <c r="H31" s="78"/>
      <c r="I31" s="78"/>
      <c r="K31" s="87"/>
    </row>
    <row r="32" spans="1:15" s="88" customFormat="1" ht="13.5" customHeight="1">
      <c r="A32" s="82" t="s">
        <v>88</v>
      </c>
      <c r="B32" s="83" t="s">
        <v>160</v>
      </c>
      <c r="C32" s="83"/>
      <c r="D32" s="85">
        <v>25</v>
      </c>
      <c r="E32" s="86">
        <f>13904038373-4326427457</f>
        <v>9577610916</v>
      </c>
      <c r="F32" s="86"/>
      <c r="G32" s="78">
        <v>16028775310</v>
      </c>
      <c r="H32" s="78">
        <f>-'[1]but toan dieu chinh'!F83</f>
        <v>-617252973</v>
      </c>
      <c r="I32" s="78" t="e">
        <f>E32-#REF!</f>
        <v>#REF!</v>
      </c>
      <c r="J32" s="18" t="e">
        <f>IF(I32=0,0%,IF(#REF!=0,100%,I32/#REF!))</f>
        <v>#REF!</v>
      </c>
      <c r="K32" s="87">
        <v>5515931499</v>
      </c>
      <c r="M32" s="87"/>
      <c r="N32" s="87"/>
      <c r="O32" s="95"/>
    </row>
    <row r="33" spans="1:11" s="88" customFormat="1" ht="7.5" customHeight="1">
      <c r="A33" s="82"/>
      <c r="B33" s="83"/>
      <c r="C33" s="83"/>
      <c r="D33" s="85"/>
      <c r="E33" s="86"/>
      <c r="F33" s="86"/>
      <c r="G33" s="78"/>
      <c r="H33" s="78"/>
      <c r="I33" s="78"/>
      <c r="K33" s="87"/>
    </row>
    <row r="34" spans="1:11" s="88" customFormat="1" ht="13.5" customHeight="1">
      <c r="A34" s="82" t="s">
        <v>90</v>
      </c>
      <c r="B34" s="83" t="s">
        <v>161</v>
      </c>
      <c r="C34" s="83"/>
      <c r="D34" s="85">
        <v>30</v>
      </c>
      <c r="E34" s="86">
        <f>E23+E25-E27-E30-E32</f>
        <v>27968565869</v>
      </c>
      <c r="F34" s="86"/>
      <c r="G34" s="86">
        <f>G23+G25-G27-G30-G32</f>
        <v>-1530245698</v>
      </c>
      <c r="H34" s="86">
        <f>H23+H25-H27-H30-H32</f>
        <v>21685168263</v>
      </c>
      <c r="I34" s="86" t="e">
        <f>I23+I25-I27-I30-I32</f>
        <v>#REF!</v>
      </c>
      <c r="J34" s="18" t="e">
        <f>IF(I34=0,0%,IF(#REF!=0,100%,I34/#REF!))</f>
        <v>#REF!</v>
      </c>
      <c r="K34" s="87">
        <f>K23+K25-K27-K30-K32</f>
        <v>-7324596883</v>
      </c>
    </row>
    <row r="35" spans="1:11" s="88" customFormat="1" ht="7.5" customHeight="1">
      <c r="A35" s="82"/>
      <c r="B35" s="83"/>
      <c r="C35" s="83"/>
      <c r="D35" s="85"/>
      <c r="E35" s="86"/>
      <c r="F35" s="86"/>
      <c r="G35" s="78"/>
      <c r="H35" s="78"/>
      <c r="I35" s="78"/>
      <c r="K35" s="87"/>
    </row>
    <row r="36" spans="1:11" s="88" customFormat="1" ht="13.5" customHeight="1">
      <c r="A36" s="82" t="s">
        <v>122</v>
      </c>
      <c r="B36" s="83" t="s">
        <v>162</v>
      </c>
      <c r="C36" s="83"/>
      <c r="D36" s="85">
        <v>31</v>
      </c>
      <c r="E36" s="86">
        <v>39161805</v>
      </c>
      <c r="F36" s="86"/>
      <c r="G36" s="78">
        <v>159488500412</v>
      </c>
      <c r="H36" s="78">
        <f>-'[1]but toan dieu chinh'!E40</f>
        <v>-152864500000</v>
      </c>
      <c r="I36" s="78" t="e">
        <f>E36-#REF!</f>
        <v>#REF!</v>
      </c>
      <c r="J36" s="18" t="e">
        <f>IF(I36=0,0%,IF(#REF!=0,100%,I36/#REF!))</f>
        <v>#REF!</v>
      </c>
      <c r="K36" s="87">
        <v>60391146393</v>
      </c>
    </row>
    <row r="37" spans="1:11" s="88" customFormat="1" ht="7.5" customHeight="1">
      <c r="A37" s="82"/>
      <c r="B37" s="83"/>
      <c r="C37" s="83"/>
      <c r="D37" s="85"/>
      <c r="E37" s="86"/>
      <c r="F37" s="86"/>
      <c r="G37" s="78"/>
      <c r="H37" s="78"/>
      <c r="I37" s="78"/>
      <c r="K37" s="87"/>
    </row>
    <row r="38" spans="1:11" s="88" customFormat="1" ht="13.5" customHeight="1">
      <c r="A38" s="82" t="s">
        <v>163</v>
      </c>
      <c r="B38" s="83" t="s">
        <v>164</v>
      </c>
      <c r="C38" s="83"/>
      <c r="D38" s="85">
        <v>32</v>
      </c>
      <c r="E38" s="86">
        <v>581112223</v>
      </c>
      <c r="F38" s="86"/>
      <c r="G38" s="78">
        <v>135799958964</v>
      </c>
      <c r="H38" s="78">
        <f>-'[1]but toan dieu chinh'!F42</f>
        <v>-128465839794</v>
      </c>
      <c r="I38" s="78" t="e">
        <f>E38-#REF!</f>
        <v>#REF!</v>
      </c>
      <c r="J38" s="18" t="e">
        <f>IF(I38=0,0%,IF(#REF!=0,100%,I38/#REF!))</f>
        <v>#REF!</v>
      </c>
      <c r="K38" s="87">
        <v>45903271872</v>
      </c>
    </row>
    <row r="39" spans="1:11" s="88" customFormat="1" ht="7.5" customHeight="1">
      <c r="A39" s="82"/>
      <c r="B39" s="83"/>
      <c r="C39" s="83"/>
      <c r="D39" s="85"/>
      <c r="E39" s="86"/>
      <c r="F39" s="86"/>
      <c r="G39" s="78"/>
      <c r="H39" s="78"/>
      <c r="I39" s="78"/>
      <c r="K39" s="87"/>
    </row>
    <row r="40" spans="1:11" s="88" customFormat="1" ht="13.5" customHeight="1">
      <c r="A40" s="82" t="s">
        <v>165</v>
      </c>
      <c r="B40" s="83" t="s">
        <v>166</v>
      </c>
      <c r="C40" s="83"/>
      <c r="D40" s="85">
        <v>40</v>
      </c>
      <c r="E40" s="86">
        <f>E36-E38</f>
        <v>-541950418</v>
      </c>
      <c r="F40" s="86"/>
      <c r="G40" s="86">
        <f>G36-G38</f>
        <v>23688541448</v>
      </c>
      <c r="H40" s="86">
        <f>H36-H38</f>
        <v>-24398660206</v>
      </c>
      <c r="I40" s="86" t="e">
        <f>I36-I38</f>
        <v>#REF!</v>
      </c>
      <c r="J40" s="18" t="e">
        <f>IF(I40=0,0%,IF(#REF!=0,100%,I40/#REF!))</f>
        <v>#REF!</v>
      </c>
      <c r="K40" s="87">
        <f>K36-K38</f>
        <v>14487874521</v>
      </c>
    </row>
    <row r="41" spans="1:11" s="88" customFormat="1" ht="7.5" customHeight="1">
      <c r="A41" s="82"/>
      <c r="B41" s="83"/>
      <c r="C41" s="83"/>
      <c r="D41" s="85"/>
      <c r="E41" s="86"/>
      <c r="F41" s="86"/>
      <c r="G41" s="78"/>
      <c r="H41" s="78"/>
      <c r="I41" s="78"/>
      <c r="K41" s="87"/>
    </row>
    <row r="42" spans="1:11" s="88" customFormat="1" ht="13.5" customHeight="1">
      <c r="A42" s="82" t="s">
        <v>167</v>
      </c>
      <c r="B42" s="83" t="s">
        <v>168</v>
      </c>
      <c r="C42" s="83"/>
      <c r="D42" s="85">
        <v>50</v>
      </c>
      <c r="E42" s="86">
        <f>E34+E40</f>
        <v>27426615451</v>
      </c>
      <c r="F42" s="86"/>
      <c r="G42" s="86">
        <f>G34+G40</f>
        <v>22158295750</v>
      </c>
      <c r="H42" s="86">
        <f>H34+H40</f>
        <v>-2713491943</v>
      </c>
      <c r="I42" s="86" t="e">
        <f>I34+I40</f>
        <v>#REF!</v>
      </c>
      <c r="J42" s="18" t="e">
        <f>IF(I42=0,0%,IF(#REF!=0,100%,I42/#REF!))</f>
        <v>#REF!</v>
      </c>
      <c r="K42" s="87">
        <f>K34+K40</f>
        <v>7163277638</v>
      </c>
    </row>
    <row r="43" spans="1:11" s="88" customFormat="1" ht="7.5" customHeight="1">
      <c r="A43" s="82"/>
      <c r="B43" s="83"/>
      <c r="C43" s="83"/>
      <c r="D43" s="85"/>
      <c r="E43" s="86"/>
      <c r="F43" s="86"/>
      <c r="G43" s="78"/>
      <c r="H43" s="78"/>
      <c r="I43" s="78"/>
      <c r="K43" s="87"/>
    </row>
    <row r="44" spans="1:11" s="88" customFormat="1" ht="13.5" customHeight="1">
      <c r="A44" s="82" t="s">
        <v>169</v>
      </c>
      <c r="B44" s="83" t="s">
        <v>170</v>
      </c>
      <c r="C44" s="83"/>
      <c r="D44" s="85">
        <v>51</v>
      </c>
      <c r="E44" s="86">
        <f>E42*0.28*0.5</f>
        <v>3839726163.1400003</v>
      </c>
      <c r="F44" s="86"/>
      <c r="G44" s="78">
        <v>370167493</v>
      </c>
      <c r="H44" s="78">
        <f>'[1]but toan dieu chinh'!E45</f>
        <v>2093455771</v>
      </c>
      <c r="I44" s="78" t="e">
        <f>E44-#REF!</f>
        <v>#REF!</v>
      </c>
      <c r="J44" s="18" t="e">
        <f>IF(I44=0,0%,IF(#REF!=0,100%,I44/#REF!))</f>
        <v>#REF!</v>
      </c>
      <c r="K44" s="87">
        <v>0</v>
      </c>
    </row>
    <row r="45" spans="1:11" s="88" customFormat="1" ht="7.5" customHeight="1">
      <c r="A45" s="82"/>
      <c r="B45" s="83"/>
      <c r="C45" s="83"/>
      <c r="D45" s="85"/>
      <c r="E45" s="86"/>
      <c r="F45" s="86"/>
      <c r="G45" s="78"/>
      <c r="H45" s="78"/>
      <c r="I45" s="78"/>
      <c r="K45" s="87"/>
    </row>
    <row r="46" spans="1:11" s="88" customFormat="1" ht="13.5" customHeight="1">
      <c r="A46" s="82" t="s">
        <v>171</v>
      </c>
      <c r="B46" s="83" t="s">
        <v>172</v>
      </c>
      <c r="C46" s="83"/>
      <c r="D46" s="85">
        <v>52</v>
      </c>
      <c r="E46" s="86">
        <v>0</v>
      </c>
      <c r="F46" s="86"/>
      <c r="G46" s="78">
        <v>0</v>
      </c>
      <c r="H46" s="78">
        <f>-'[1]but toan dieu chinh'!F47</f>
        <v>-469042882</v>
      </c>
      <c r="I46" s="78" t="e">
        <f>E46-#REF!</f>
        <v>#REF!</v>
      </c>
      <c r="J46" s="18" t="e">
        <f>IF(I46=0,0%,IF(#REF!=0,100%,I46/#REF!))</f>
        <v>#REF!</v>
      </c>
      <c r="K46" s="87">
        <v>0</v>
      </c>
    </row>
    <row r="47" spans="1:11" s="88" customFormat="1" ht="7.5" customHeight="1">
      <c r="A47" s="82"/>
      <c r="B47" s="83"/>
      <c r="C47" s="83"/>
      <c r="D47" s="85"/>
      <c r="E47" s="96"/>
      <c r="F47" s="86"/>
      <c r="G47" s="96"/>
      <c r="H47" s="96"/>
      <c r="I47" s="96"/>
      <c r="K47" s="87"/>
    </row>
    <row r="48" spans="1:11" s="88" customFormat="1" ht="13.5" customHeight="1" thickBot="1">
      <c r="A48" s="82" t="s">
        <v>173</v>
      </c>
      <c r="B48" s="83" t="s">
        <v>174</v>
      </c>
      <c r="C48" s="83"/>
      <c r="D48" s="85">
        <v>60</v>
      </c>
      <c r="E48" s="97">
        <f>E42-E44-E46</f>
        <v>23586889287.86</v>
      </c>
      <c r="F48" s="86"/>
      <c r="G48" s="97">
        <f>G42-G44-G46</f>
        <v>21788128257</v>
      </c>
      <c r="H48" s="97">
        <f>H42-H44-H46</f>
        <v>-4337904832</v>
      </c>
      <c r="I48" s="97" t="e">
        <f>I42-I44-I46</f>
        <v>#REF!</v>
      </c>
      <c r="J48" s="18" t="e">
        <f>IF(I48=0,0%,IF(#REF!=0,100%,I48/#REF!))</f>
        <v>#REF!</v>
      </c>
      <c r="K48" s="87">
        <f>K42-K44-K46</f>
        <v>7163277638</v>
      </c>
    </row>
    <row r="49" spans="1:9" s="88" customFormat="1" ht="7.5" customHeight="1" thickTop="1">
      <c r="A49" s="83"/>
      <c r="B49" s="83"/>
      <c r="C49" s="83"/>
      <c r="D49" s="83"/>
      <c r="E49" s="86"/>
      <c r="F49" s="86"/>
      <c r="G49" s="78"/>
      <c r="H49" s="78"/>
      <c r="I49" s="78"/>
    </row>
    <row r="50" spans="1:6" s="88" customFormat="1" ht="13.5" customHeight="1" thickBot="1">
      <c r="A50" s="82" t="s">
        <v>175</v>
      </c>
      <c r="B50" s="88" t="s">
        <v>176</v>
      </c>
      <c r="D50" s="85">
        <v>70</v>
      </c>
      <c r="E50" s="97">
        <f>ROUND(E48/4000000,0)</f>
        <v>5897</v>
      </c>
      <c r="F50" s="78"/>
    </row>
    <row r="51" spans="1:4" ht="13.5" customHeight="1" thickTop="1">
      <c r="A51" s="82"/>
      <c r="B51" s="88"/>
      <c r="C51" s="88"/>
      <c r="D51" s="85"/>
    </row>
    <row r="52" spans="1:9" s="67" customFormat="1" ht="13.5" customHeight="1">
      <c r="A52" s="2"/>
      <c r="B52" s="2"/>
      <c r="C52" s="2"/>
      <c r="D52" s="2" t="s">
        <v>185</v>
      </c>
      <c r="E52" s="1"/>
      <c r="F52" s="1"/>
      <c r="G52" s="66"/>
      <c r="H52" s="66"/>
      <c r="I52" s="66"/>
    </row>
    <row r="53" spans="1:9" s="67" customFormat="1" ht="13.5" customHeight="1">
      <c r="A53" s="2"/>
      <c r="B53" s="2"/>
      <c r="C53" s="2"/>
      <c r="D53" s="2"/>
      <c r="E53" s="2"/>
      <c r="F53" s="2"/>
      <c r="G53" s="66"/>
      <c r="H53" s="66"/>
      <c r="I53" s="66"/>
    </row>
    <row r="54" spans="1:9" s="67" customFormat="1" ht="13.5" customHeight="1">
      <c r="A54" s="2"/>
      <c r="B54" s="2"/>
      <c r="C54" s="2"/>
      <c r="D54" s="2"/>
      <c r="E54" s="2"/>
      <c r="F54" s="2"/>
      <c r="G54" s="66"/>
      <c r="H54" s="66"/>
      <c r="I54" s="66"/>
    </row>
    <row r="55" spans="1:9" s="67" customFormat="1" ht="13.5" customHeight="1">
      <c r="A55" s="2"/>
      <c r="B55" s="2"/>
      <c r="C55" s="2"/>
      <c r="D55" s="2"/>
      <c r="E55" s="2"/>
      <c r="F55" s="2"/>
      <c r="G55" s="66"/>
      <c r="H55" s="66"/>
      <c r="I55" s="66"/>
    </row>
    <row r="56" spans="1:9" s="67" customFormat="1" ht="13.5" customHeight="1">
      <c r="A56" s="2"/>
      <c r="B56" s="2"/>
      <c r="C56" s="2"/>
      <c r="D56" s="2"/>
      <c r="E56" s="2"/>
      <c r="F56" s="2"/>
      <c r="G56" s="66"/>
      <c r="H56" s="66"/>
      <c r="I56" s="66"/>
    </row>
    <row r="57" spans="1:9" s="67" customFormat="1" ht="13.5" customHeight="1">
      <c r="A57" s="2"/>
      <c r="B57" s="2"/>
      <c r="C57" s="2"/>
      <c r="D57" s="2"/>
      <c r="E57" s="2"/>
      <c r="F57" s="2"/>
      <c r="G57" s="66"/>
      <c r="H57" s="66"/>
      <c r="I57" s="66"/>
    </row>
    <row r="58" spans="1:9" s="67" customFormat="1" ht="13.5" customHeight="1">
      <c r="A58" s="2"/>
      <c r="B58" s="2"/>
      <c r="C58" s="2"/>
      <c r="D58" s="2"/>
      <c r="E58" s="2"/>
      <c r="F58" s="2"/>
      <c r="G58" s="66"/>
      <c r="H58" s="66"/>
      <c r="I58" s="66"/>
    </row>
    <row r="59" spans="2:9" s="67" customFormat="1" ht="13.5" customHeight="1">
      <c r="B59" s="41" t="s">
        <v>143</v>
      </c>
      <c r="C59" s="2"/>
      <c r="D59" s="2"/>
      <c r="E59" s="41" t="s">
        <v>143</v>
      </c>
      <c r="F59" s="2"/>
      <c r="G59" s="66"/>
      <c r="H59" s="66"/>
      <c r="I59" s="66"/>
    </row>
    <row r="60" spans="2:9" s="69" customFormat="1" ht="13.5" customHeight="1">
      <c r="B60" s="103" t="s">
        <v>144</v>
      </c>
      <c r="C60" s="64"/>
      <c r="D60" s="1"/>
      <c r="E60" s="103" t="s">
        <v>183</v>
      </c>
      <c r="F60" s="1"/>
      <c r="G60" s="78"/>
      <c r="H60" s="78"/>
      <c r="I60" s="78"/>
    </row>
    <row r="61" spans="2:9" s="69" customFormat="1" ht="13.5" customHeight="1">
      <c r="B61" s="103" t="s">
        <v>145</v>
      </c>
      <c r="C61" s="64"/>
      <c r="D61" s="1"/>
      <c r="E61" s="103" t="s">
        <v>184</v>
      </c>
      <c r="F61" s="1"/>
      <c r="G61" s="78"/>
      <c r="H61" s="78"/>
      <c r="I61" s="78"/>
    </row>
    <row r="62" spans="5:6" ht="13.5" customHeight="1">
      <c r="E62" s="78"/>
      <c r="F62" s="78"/>
    </row>
  </sheetData>
  <mergeCells count="1">
    <mergeCell ref="D12:D13"/>
  </mergeCells>
  <printOptions/>
  <pageMargins left="0.75" right="0.17" top="0.21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2007-05-03T02:20:29Z</cp:lastPrinted>
  <dcterms:created xsi:type="dcterms:W3CDTF">2007-01-29T04:33:12Z</dcterms:created>
  <dcterms:modified xsi:type="dcterms:W3CDTF">2007-05-03T02:22:52Z</dcterms:modified>
  <cp:category/>
  <cp:version/>
  <cp:contentType/>
  <cp:contentStatus/>
</cp:coreProperties>
</file>